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3270" windowWidth="19260" windowHeight="8820" firstSheet="2" activeTab="6"/>
  </bookViews>
  <sheets>
    <sheet name="SAMU" sheetId="14" r:id="rId1"/>
    <sheet name="UPA" sheetId="9" r:id="rId2"/>
    <sheet name="ATENÇÃO_DOMICILIAR" sheetId="10" r:id="rId3"/>
    <sheet name="SALAS DE ESTAB" sheetId="11" r:id="rId4"/>
    <sheet name="HOSPITALAR" sheetId="5" r:id="rId5"/>
    <sheet name="HOSPITALAR_IMEDIATO" sheetId="16" r:id="rId6"/>
    <sheet name="CONSOLIDADO" sheetId="15" r:id="rId7"/>
    <sheet name="Resumo do Total do Impacto MAC" sheetId="13" r:id="rId8"/>
    <sheet name="Plan2" sheetId="17" r:id="rId9"/>
  </sheets>
  <calcPr calcId="145621"/>
</workbook>
</file>

<file path=xl/calcChain.xml><?xml version="1.0" encoding="utf-8"?>
<calcChain xmlns="http://schemas.openxmlformats.org/spreadsheetml/2006/main">
  <c r="G12" i="17"/>
  <c r="F12"/>
  <c r="E12"/>
  <c r="D12"/>
  <c r="C12"/>
  <c r="B12"/>
  <c r="AE23" i="5"/>
  <c r="AD9"/>
  <c r="AC9"/>
  <c r="AE9"/>
  <c r="AD10"/>
  <c r="AC10"/>
  <c r="AE10"/>
  <c r="H14" i="13"/>
  <c r="D21"/>
  <c r="E17"/>
  <c r="E21"/>
  <c r="F21"/>
  <c r="H18"/>
  <c r="F13"/>
  <c r="F12"/>
  <c r="F11"/>
  <c r="F17"/>
  <c r="BJ9" i="5"/>
  <c r="BH9"/>
  <c r="BG9"/>
  <c r="BI9"/>
  <c r="BI18"/>
  <c r="BD9"/>
  <c r="BC9"/>
  <c r="BE9"/>
  <c r="BE18"/>
  <c r="AZ9"/>
  <c r="AY9"/>
  <c r="BA9"/>
  <c r="BA18"/>
  <c r="AV9"/>
  <c r="AU9"/>
  <c r="AS9"/>
  <c r="AW9"/>
  <c r="AW18"/>
  <c r="AP9"/>
  <c r="AO9"/>
  <c r="AM9"/>
  <c r="AQ9"/>
  <c r="AQ18"/>
  <c r="AJ9"/>
  <c r="AI9"/>
  <c r="AG9"/>
  <c r="AK9"/>
  <c r="AK18"/>
  <c r="AD18"/>
  <c r="AL15" i="14"/>
  <c r="AK15"/>
  <c r="AM15"/>
  <c r="AJ15"/>
  <c r="AI15"/>
  <c r="AH15"/>
  <c r="T10" i="5"/>
  <c r="S10"/>
  <c r="Q10"/>
  <c r="U10"/>
  <c r="T9"/>
  <c r="S9"/>
  <c r="Q9"/>
  <c r="U9"/>
  <c r="N9"/>
  <c r="M9"/>
  <c r="K9"/>
  <c r="I9"/>
  <c r="O9"/>
  <c r="I42" i="15"/>
  <c r="I9" i="16"/>
  <c r="I4" i="15"/>
  <c r="I5"/>
  <c r="I6"/>
  <c r="I7"/>
  <c r="I8"/>
  <c r="I9"/>
  <c r="I10"/>
  <c r="I11"/>
  <c r="I12"/>
  <c r="I13"/>
  <c r="I14"/>
  <c r="I15"/>
  <c r="I16"/>
  <c r="I17"/>
  <c r="I18"/>
  <c r="I19"/>
  <c r="I3"/>
  <c r="G20"/>
  <c r="G72"/>
  <c r="I48"/>
  <c r="I49"/>
  <c r="I50"/>
  <c r="I51"/>
  <c r="I52"/>
  <c r="I53"/>
  <c r="I54"/>
  <c r="I55"/>
  <c r="I56"/>
  <c r="I47"/>
  <c r="I57"/>
  <c r="E57"/>
  <c r="F57"/>
  <c r="G57"/>
  <c r="H57"/>
  <c r="N5"/>
  <c r="O5"/>
  <c r="BF17" i="16"/>
  <c r="BB17"/>
  <c r="AX17"/>
  <c r="AT17"/>
  <c r="AR17"/>
  <c r="AN17"/>
  <c r="AL17"/>
  <c r="AF17"/>
  <c r="AB17"/>
  <c r="Z17"/>
  <c r="V17"/>
  <c r="R17"/>
  <c r="P17"/>
  <c r="L17"/>
  <c r="J17"/>
  <c r="H17"/>
  <c r="BH16"/>
  <c r="BG16"/>
  <c r="BI16"/>
  <c r="BD16"/>
  <c r="BC16"/>
  <c r="BE16"/>
  <c r="AZ16"/>
  <c r="AY16"/>
  <c r="BA16"/>
  <c r="AV16"/>
  <c r="AU16"/>
  <c r="AS16"/>
  <c r="AW16"/>
  <c r="AP16"/>
  <c r="AO16"/>
  <c r="AM16"/>
  <c r="AQ16"/>
  <c r="AJ16"/>
  <c r="AI16"/>
  <c r="AG16"/>
  <c r="AK16"/>
  <c r="AD16"/>
  <c r="AC16"/>
  <c r="AA16"/>
  <c r="AE16"/>
  <c r="X16"/>
  <c r="W16"/>
  <c r="Y16"/>
  <c r="T16"/>
  <c r="S16"/>
  <c r="Q16"/>
  <c r="U16"/>
  <c r="N16"/>
  <c r="M16"/>
  <c r="K16"/>
  <c r="I16"/>
  <c r="O16"/>
  <c r="BH15"/>
  <c r="BG15"/>
  <c r="BI15"/>
  <c r="BD15"/>
  <c r="BC15"/>
  <c r="BE15"/>
  <c r="AZ15"/>
  <c r="AY15"/>
  <c r="BA15"/>
  <c r="AV15"/>
  <c r="AU15"/>
  <c r="AW15"/>
  <c r="AS15"/>
  <c r="AP15"/>
  <c r="AO15"/>
  <c r="AQ15"/>
  <c r="AM15"/>
  <c r="AJ15"/>
  <c r="AI15"/>
  <c r="AK15"/>
  <c r="AG15"/>
  <c r="AD15"/>
  <c r="AC15"/>
  <c r="AA15"/>
  <c r="X15"/>
  <c r="W15"/>
  <c r="Y15"/>
  <c r="T15"/>
  <c r="S15"/>
  <c r="Q15"/>
  <c r="U15"/>
  <c r="N15"/>
  <c r="M15"/>
  <c r="K15"/>
  <c r="I15"/>
  <c r="O15"/>
  <c r="BH14"/>
  <c r="BG14"/>
  <c r="BI14"/>
  <c r="BD14"/>
  <c r="BC14"/>
  <c r="BE14"/>
  <c r="AZ14"/>
  <c r="AY14"/>
  <c r="BA14"/>
  <c r="AV14"/>
  <c r="AU14"/>
  <c r="AW14"/>
  <c r="AS14"/>
  <c r="AP14"/>
  <c r="AO14"/>
  <c r="AQ14"/>
  <c r="AM14"/>
  <c r="AJ14"/>
  <c r="AI14"/>
  <c r="AK14"/>
  <c r="AG14"/>
  <c r="AD14"/>
  <c r="AC14"/>
  <c r="AE14"/>
  <c r="AA14"/>
  <c r="X14"/>
  <c r="W14"/>
  <c r="Y14"/>
  <c r="T14"/>
  <c r="S14"/>
  <c r="Q14"/>
  <c r="U14"/>
  <c r="N14"/>
  <c r="M14"/>
  <c r="K14"/>
  <c r="I14"/>
  <c r="O14"/>
  <c r="BH13"/>
  <c r="BG13"/>
  <c r="BI13"/>
  <c r="BD13"/>
  <c r="BC13"/>
  <c r="BE13"/>
  <c r="AZ13"/>
  <c r="AY13"/>
  <c r="BA13"/>
  <c r="AV13"/>
  <c r="AU13"/>
  <c r="AS13"/>
  <c r="AW13"/>
  <c r="AP13"/>
  <c r="AO13"/>
  <c r="AM13"/>
  <c r="AQ13"/>
  <c r="AJ13"/>
  <c r="AI13"/>
  <c r="AG13"/>
  <c r="AK13"/>
  <c r="AD13"/>
  <c r="AC13"/>
  <c r="AA13"/>
  <c r="X13"/>
  <c r="W13"/>
  <c r="Y13"/>
  <c r="T13"/>
  <c r="S13"/>
  <c r="Q13"/>
  <c r="U13"/>
  <c r="N13"/>
  <c r="M13"/>
  <c r="K13"/>
  <c r="I13"/>
  <c r="O13"/>
  <c r="BH12"/>
  <c r="BG12"/>
  <c r="BI12"/>
  <c r="BD12"/>
  <c r="BC12"/>
  <c r="BE12"/>
  <c r="AZ12"/>
  <c r="AY12"/>
  <c r="BA12"/>
  <c r="AV12"/>
  <c r="AU12"/>
  <c r="AS12"/>
  <c r="AW12"/>
  <c r="AP12"/>
  <c r="AO12"/>
  <c r="AM12"/>
  <c r="AQ12"/>
  <c r="AJ12"/>
  <c r="AI12"/>
  <c r="AG12"/>
  <c r="AK12"/>
  <c r="AD12"/>
  <c r="AC12"/>
  <c r="AA12"/>
  <c r="AE12"/>
  <c r="X12"/>
  <c r="W12"/>
  <c r="Y12"/>
  <c r="T12"/>
  <c r="S12"/>
  <c r="Q12"/>
  <c r="U12"/>
  <c r="N12"/>
  <c r="M12"/>
  <c r="K12"/>
  <c r="I12"/>
  <c r="O12"/>
  <c r="BH11"/>
  <c r="BG11"/>
  <c r="BI11"/>
  <c r="BD11"/>
  <c r="BC11"/>
  <c r="BE11"/>
  <c r="AZ11"/>
  <c r="AY11"/>
  <c r="BA11"/>
  <c r="AV11"/>
  <c r="AU11"/>
  <c r="AW11"/>
  <c r="AS11"/>
  <c r="AP11"/>
  <c r="AO11"/>
  <c r="AQ11"/>
  <c r="AM11"/>
  <c r="AJ11"/>
  <c r="AI11"/>
  <c r="AK11"/>
  <c r="AG11"/>
  <c r="AD11"/>
  <c r="AC11"/>
  <c r="AA11"/>
  <c r="X11"/>
  <c r="W11"/>
  <c r="Y11"/>
  <c r="T11"/>
  <c r="S11"/>
  <c r="Q11"/>
  <c r="U11"/>
  <c r="N11"/>
  <c r="M11"/>
  <c r="K11"/>
  <c r="I11"/>
  <c r="O11"/>
  <c r="BH10"/>
  <c r="BG10"/>
  <c r="BI10"/>
  <c r="BD10"/>
  <c r="BC10"/>
  <c r="BE10"/>
  <c r="AZ10"/>
  <c r="AY10"/>
  <c r="BA10"/>
  <c r="AV10"/>
  <c r="AU10"/>
  <c r="AW10"/>
  <c r="AS10"/>
  <c r="AP10"/>
  <c r="AO10"/>
  <c r="AQ10"/>
  <c r="AM10"/>
  <c r="AJ10"/>
  <c r="AI10"/>
  <c r="AK10"/>
  <c r="AG10"/>
  <c r="AD10"/>
  <c r="AC10"/>
  <c r="AE10"/>
  <c r="AA10"/>
  <c r="X10"/>
  <c r="W10"/>
  <c r="Y10"/>
  <c r="T10"/>
  <c r="S10"/>
  <c r="Q10"/>
  <c r="U10"/>
  <c r="N10"/>
  <c r="M10"/>
  <c r="K10"/>
  <c r="I10"/>
  <c r="O10"/>
  <c r="BH9"/>
  <c r="BG9"/>
  <c r="BI9"/>
  <c r="BD9"/>
  <c r="BC9"/>
  <c r="BE9"/>
  <c r="AZ9"/>
  <c r="AY9"/>
  <c r="BA9"/>
  <c r="AV9"/>
  <c r="AU9"/>
  <c r="AS9"/>
  <c r="AW9"/>
  <c r="AP9"/>
  <c r="AO9"/>
  <c r="AM9"/>
  <c r="AQ9"/>
  <c r="AJ9"/>
  <c r="AI9"/>
  <c r="AG9"/>
  <c r="AK9"/>
  <c r="AD9"/>
  <c r="AC9"/>
  <c r="AA9"/>
  <c r="X9"/>
  <c r="W9"/>
  <c r="Y9"/>
  <c r="T9"/>
  <c r="S9"/>
  <c r="Q9"/>
  <c r="U9"/>
  <c r="N9"/>
  <c r="M9"/>
  <c r="K9"/>
  <c r="O9"/>
  <c r="BH8"/>
  <c r="BG8"/>
  <c r="BI8"/>
  <c r="BD8"/>
  <c r="BC8"/>
  <c r="BE8"/>
  <c r="AZ8"/>
  <c r="AY8"/>
  <c r="BA8"/>
  <c r="AV8"/>
  <c r="AU8"/>
  <c r="AS8"/>
  <c r="AW8"/>
  <c r="AP8"/>
  <c r="AO8"/>
  <c r="AM8"/>
  <c r="AQ8"/>
  <c r="AJ8"/>
  <c r="AI8"/>
  <c r="AG8"/>
  <c r="AK8"/>
  <c r="AD8"/>
  <c r="AC8"/>
  <c r="AA8"/>
  <c r="AE8"/>
  <c r="X8"/>
  <c r="W8"/>
  <c r="Y8"/>
  <c r="T8"/>
  <c r="S8"/>
  <c r="Q8"/>
  <c r="U8"/>
  <c r="N8"/>
  <c r="M8"/>
  <c r="K8"/>
  <c r="I8"/>
  <c r="O8"/>
  <c r="BH7"/>
  <c r="BG7"/>
  <c r="BI7"/>
  <c r="BD7"/>
  <c r="BC7"/>
  <c r="BE7"/>
  <c r="AZ7"/>
  <c r="AY7"/>
  <c r="BA7"/>
  <c r="AV7"/>
  <c r="AU7"/>
  <c r="AW7"/>
  <c r="AS7"/>
  <c r="AP7"/>
  <c r="AO7"/>
  <c r="AQ7"/>
  <c r="AM7"/>
  <c r="AJ7"/>
  <c r="AI7"/>
  <c r="AK7"/>
  <c r="AG7"/>
  <c r="AD7"/>
  <c r="AC7"/>
  <c r="AA7"/>
  <c r="X7"/>
  <c r="W7"/>
  <c r="Y7"/>
  <c r="T7"/>
  <c r="S7"/>
  <c r="Q7"/>
  <c r="U7"/>
  <c r="N7"/>
  <c r="M7"/>
  <c r="K7"/>
  <c r="I7"/>
  <c r="O7"/>
  <c r="BH6"/>
  <c r="BG6"/>
  <c r="BI6"/>
  <c r="BD6"/>
  <c r="BC6"/>
  <c r="BE6"/>
  <c r="AZ6"/>
  <c r="AY6"/>
  <c r="BA6"/>
  <c r="AV6"/>
  <c r="AU6"/>
  <c r="AW6"/>
  <c r="AS6"/>
  <c r="AP6"/>
  <c r="AO6"/>
  <c r="AQ6"/>
  <c r="AM6"/>
  <c r="AJ6"/>
  <c r="AI6"/>
  <c r="AK6"/>
  <c r="AG6"/>
  <c r="AD6"/>
  <c r="AC6"/>
  <c r="AE6"/>
  <c r="AA6"/>
  <c r="X6"/>
  <c r="W6"/>
  <c r="Y6"/>
  <c r="T6"/>
  <c r="S6"/>
  <c r="Q6"/>
  <c r="U6"/>
  <c r="N6"/>
  <c r="M6"/>
  <c r="K6"/>
  <c r="I6"/>
  <c r="O6"/>
  <c r="BH5"/>
  <c r="BG5"/>
  <c r="BI5"/>
  <c r="BD5"/>
  <c r="BC5"/>
  <c r="BE5"/>
  <c r="AZ5"/>
  <c r="AY5"/>
  <c r="BA5"/>
  <c r="AV5"/>
  <c r="AU5"/>
  <c r="AS5"/>
  <c r="AW5"/>
  <c r="AP5"/>
  <c r="AO5"/>
  <c r="AM5"/>
  <c r="AQ5"/>
  <c r="AJ5"/>
  <c r="AI5"/>
  <c r="AG5"/>
  <c r="AK5"/>
  <c r="AD5"/>
  <c r="AC5"/>
  <c r="AA5"/>
  <c r="X5"/>
  <c r="W5"/>
  <c r="Y5"/>
  <c r="T5"/>
  <c r="S5"/>
  <c r="Q5"/>
  <c r="U5"/>
  <c r="N5"/>
  <c r="M5"/>
  <c r="K5"/>
  <c r="I5"/>
  <c r="O5"/>
  <c r="BH4"/>
  <c r="BH17"/>
  <c r="BG4"/>
  <c r="BG17"/>
  <c r="BD4"/>
  <c r="BD17"/>
  <c r="BC4"/>
  <c r="BC17"/>
  <c r="AZ4"/>
  <c r="AZ17"/>
  <c r="AY4"/>
  <c r="AY17"/>
  <c r="AV4"/>
  <c r="AV17"/>
  <c r="AU4"/>
  <c r="AU17"/>
  <c r="AS4"/>
  <c r="AS17"/>
  <c r="AP4"/>
  <c r="AP17"/>
  <c r="AO4"/>
  <c r="AO17"/>
  <c r="AM4"/>
  <c r="AM17"/>
  <c r="AJ4"/>
  <c r="AJ17"/>
  <c r="AI4"/>
  <c r="AI17"/>
  <c r="AG4"/>
  <c r="AG17"/>
  <c r="AD4"/>
  <c r="AC4"/>
  <c r="AC17"/>
  <c r="AE22"/>
  <c r="AA4"/>
  <c r="X4"/>
  <c r="X17"/>
  <c r="W4"/>
  <c r="T4"/>
  <c r="T17"/>
  <c r="S4"/>
  <c r="S17"/>
  <c r="Q4"/>
  <c r="U4"/>
  <c r="U17"/>
  <c r="N4"/>
  <c r="N17"/>
  <c r="M4"/>
  <c r="M17"/>
  <c r="K4"/>
  <c r="K17"/>
  <c r="I4"/>
  <c r="N4" i="9"/>
  <c r="N5"/>
  <c r="N6"/>
  <c r="N7"/>
  <c r="N12"/>
  <c r="N8"/>
  <c r="N9"/>
  <c r="N10"/>
  <c r="N11"/>
  <c r="P15" i="14"/>
  <c r="BF18" i="5"/>
  <c r="G10" i="14"/>
  <c r="E10"/>
  <c r="H20" i="15"/>
  <c r="D20"/>
  <c r="E20"/>
  <c r="F20"/>
  <c r="AP15" i="14"/>
  <c r="G4"/>
  <c r="G5"/>
  <c r="G6"/>
  <c r="G7"/>
  <c r="G8"/>
  <c r="G9"/>
  <c r="G11"/>
  <c r="G12"/>
  <c r="G13"/>
  <c r="G14"/>
  <c r="E4"/>
  <c r="E5"/>
  <c r="E6"/>
  <c r="E7"/>
  <c r="E8"/>
  <c r="E9"/>
  <c r="E11"/>
  <c r="E12"/>
  <c r="E13"/>
  <c r="E14"/>
  <c r="G15"/>
  <c r="J15"/>
  <c r="F15"/>
  <c r="E15"/>
  <c r="D15"/>
  <c r="I4"/>
  <c r="I5"/>
  <c r="I6"/>
  <c r="I7"/>
  <c r="I8"/>
  <c r="I9"/>
  <c r="I10"/>
  <c r="I11"/>
  <c r="I12"/>
  <c r="I13"/>
  <c r="I14"/>
  <c r="H4"/>
  <c r="H5"/>
  <c r="H6"/>
  <c r="H7"/>
  <c r="H8"/>
  <c r="H9"/>
  <c r="H10"/>
  <c r="H11"/>
  <c r="H12"/>
  <c r="H13"/>
  <c r="H14"/>
  <c r="R15"/>
  <c r="L15"/>
  <c r="AL14"/>
  <c r="AK14"/>
  <c r="AI14"/>
  <c r="AM14"/>
  <c r="AF14"/>
  <c r="AE14"/>
  <c r="AC14"/>
  <c r="AG14"/>
  <c r="Z14"/>
  <c r="Y14"/>
  <c r="W14"/>
  <c r="T14"/>
  <c r="S14"/>
  <c r="Q14"/>
  <c r="U14"/>
  <c r="AN14"/>
  <c r="AQ14"/>
  <c r="N14"/>
  <c r="M14"/>
  <c r="K14"/>
  <c r="O14"/>
  <c r="AL13"/>
  <c r="AK13"/>
  <c r="AI13"/>
  <c r="AM13"/>
  <c r="AF13"/>
  <c r="AE13"/>
  <c r="AC13"/>
  <c r="AG13"/>
  <c r="Z13"/>
  <c r="Y13"/>
  <c r="W13"/>
  <c r="AA13"/>
  <c r="T13"/>
  <c r="S13"/>
  <c r="Q13"/>
  <c r="U13"/>
  <c r="N13"/>
  <c r="M13"/>
  <c r="K13"/>
  <c r="O13"/>
  <c r="AL12"/>
  <c r="AK12"/>
  <c r="AI12"/>
  <c r="AM12"/>
  <c r="AF12"/>
  <c r="AE12"/>
  <c r="AC12"/>
  <c r="AG12"/>
  <c r="Z12"/>
  <c r="Y12"/>
  <c r="W12"/>
  <c r="T12"/>
  <c r="S12"/>
  <c r="Q12"/>
  <c r="U12"/>
  <c r="AN12"/>
  <c r="AQ12"/>
  <c r="N12"/>
  <c r="M12"/>
  <c r="K12"/>
  <c r="AL11"/>
  <c r="AK11"/>
  <c r="AI11"/>
  <c r="AF11"/>
  <c r="AE11"/>
  <c r="AC11"/>
  <c r="AG11"/>
  <c r="AN11"/>
  <c r="AQ11"/>
  <c r="Z11"/>
  <c r="Y11"/>
  <c r="W11"/>
  <c r="T11"/>
  <c r="S11"/>
  <c r="Q11"/>
  <c r="U11"/>
  <c r="N11"/>
  <c r="M11"/>
  <c r="K11"/>
  <c r="AL10"/>
  <c r="AK10"/>
  <c r="AI10"/>
  <c r="AF10"/>
  <c r="AE10"/>
  <c r="AC10"/>
  <c r="AG10"/>
  <c r="Z10"/>
  <c r="Y10"/>
  <c r="W10"/>
  <c r="T10"/>
  <c r="S10"/>
  <c r="Q10"/>
  <c r="U10"/>
  <c r="AN10"/>
  <c r="AQ10"/>
  <c r="N10"/>
  <c r="M10"/>
  <c r="K10"/>
  <c r="AL9"/>
  <c r="AK9"/>
  <c r="AI9"/>
  <c r="AF9"/>
  <c r="AE9"/>
  <c r="AC9"/>
  <c r="AG9"/>
  <c r="Z9"/>
  <c r="Y9"/>
  <c r="W9"/>
  <c r="T9"/>
  <c r="S9"/>
  <c r="Q9"/>
  <c r="U9"/>
  <c r="N9"/>
  <c r="M9"/>
  <c r="O9"/>
  <c r="AN9"/>
  <c r="AQ9"/>
  <c r="K9"/>
  <c r="AL8"/>
  <c r="AK8"/>
  <c r="AI8"/>
  <c r="AF8"/>
  <c r="AE8"/>
  <c r="AC8"/>
  <c r="AG8"/>
  <c r="Z8"/>
  <c r="Y8"/>
  <c r="AA8"/>
  <c r="W8"/>
  <c r="T8"/>
  <c r="S8"/>
  <c r="Q8"/>
  <c r="U8"/>
  <c r="N8"/>
  <c r="M8"/>
  <c r="K8"/>
  <c r="AL7"/>
  <c r="AK7"/>
  <c r="AM7"/>
  <c r="AI7"/>
  <c r="AF7"/>
  <c r="AE7"/>
  <c r="AC7"/>
  <c r="AG7"/>
  <c r="Z7"/>
  <c r="Y7"/>
  <c r="W7"/>
  <c r="T7"/>
  <c r="S7"/>
  <c r="Q7"/>
  <c r="U7"/>
  <c r="N7"/>
  <c r="M7"/>
  <c r="O7"/>
  <c r="AN7"/>
  <c r="AQ7"/>
  <c r="K7"/>
  <c r="AL6"/>
  <c r="AK6"/>
  <c r="AI6"/>
  <c r="AF6"/>
  <c r="AE6"/>
  <c r="AC6"/>
  <c r="AG6"/>
  <c r="Z6"/>
  <c r="Y6"/>
  <c r="AA6"/>
  <c r="W6"/>
  <c r="T6"/>
  <c r="S6"/>
  <c r="Q6"/>
  <c r="U6"/>
  <c r="N6"/>
  <c r="M6"/>
  <c r="K6"/>
  <c r="AL5"/>
  <c r="AK5"/>
  <c r="AM5"/>
  <c r="AI5"/>
  <c r="AF5"/>
  <c r="AE5"/>
  <c r="AC5"/>
  <c r="AG5"/>
  <c r="Z5"/>
  <c r="Y5"/>
  <c r="AA5"/>
  <c r="W5"/>
  <c r="T5"/>
  <c r="S5"/>
  <c r="Q5"/>
  <c r="U5"/>
  <c r="AN5"/>
  <c r="AQ5"/>
  <c r="N5"/>
  <c r="M5"/>
  <c r="K5"/>
  <c r="AL4"/>
  <c r="AK4"/>
  <c r="AI4"/>
  <c r="AM4"/>
  <c r="AF4"/>
  <c r="AE4"/>
  <c r="AC4"/>
  <c r="AG4"/>
  <c r="Z4"/>
  <c r="Y4"/>
  <c r="W4"/>
  <c r="AA4"/>
  <c r="T4"/>
  <c r="T15"/>
  <c r="S4"/>
  <c r="S15"/>
  <c r="Q4"/>
  <c r="U4"/>
  <c r="U15"/>
  <c r="N4"/>
  <c r="N15"/>
  <c r="M4"/>
  <c r="M15"/>
  <c r="K4"/>
  <c r="K15"/>
  <c r="O5"/>
  <c r="O6"/>
  <c r="AM6"/>
  <c r="AA7"/>
  <c r="O8"/>
  <c r="AN8"/>
  <c r="AQ8"/>
  <c r="AM8"/>
  <c r="AA9"/>
  <c r="AM9"/>
  <c r="O10"/>
  <c r="AA10"/>
  <c r="AM10"/>
  <c r="O11"/>
  <c r="AA11"/>
  <c r="AM11"/>
  <c r="O12"/>
  <c r="AA12"/>
  <c r="AA14"/>
  <c r="H10" i="11"/>
  <c r="F10"/>
  <c r="J9"/>
  <c r="I9"/>
  <c r="G9"/>
  <c r="K9"/>
  <c r="L9"/>
  <c r="J8"/>
  <c r="I8"/>
  <c r="G8"/>
  <c r="K8"/>
  <c r="L8"/>
  <c r="J7"/>
  <c r="I7"/>
  <c r="G7"/>
  <c r="K7"/>
  <c r="L7"/>
  <c r="J6"/>
  <c r="I6"/>
  <c r="G6"/>
  <c r="K6"/>
  <c r="L6"/>
  <c r="J5"/>
  <c r="I5"/>
  <c r="G5"/>
  <c r="K5"/>
  <c r="J4"/>
  <c r="J10"/>
  <c r="I4"/>
  <c r="I10"/>
  <c r="G4"/>
  <c r="G10"/>
  <c r="I17" i="10"/>
  <c r="G17"/>
  <c r="K16"/>
  <c r="J16"/>
  <c r="H16"/>
  <c r="L16"/>
  <c r="K15"/>
  <c r="J15"/>
  <c r="H15"/>
  <c r="L15"/>
  <c r="K14"/>
  <c r="J14"/>
  <c r="H14"/>
  <c r="L14"/>
  <c r="K13"/>
  <c r="J13"/>
  <c r="H13"/>
  <c r="L13"/>
  <c r="K12"/>
  <c r="J12"/>
  <c r="H12"/>
  <c r="L12"/>
  <c r="K11"/>
  <c r="J11"/>
  <c r="H11"/>
  <c r="L11"/>
  <c r="K10"/>
  <c r="J10"/>
  <c r="H10"/>
  <c r="N11"/>
  <c r="L10"/>
  <c r="K9"/>
  <c r="J9"/>
  <c r="H9"/>
  <c r="L9"/>
  <c r="K8"/>
  <c r="J8"/>
  <c r="H8"/>
  <c r="L8"/>
  <c r="K7"/>
  <c r="J7"/>
  <c r="H7"/>
  <c r="L7"/>
  <c r="K6"/>
  <c r="J6"/>
  <c r="H6"/>
  <c r="L6"/>
  <c r="K5"/>
  <c r="J5"/>
  <c r="H5"/>
  <c r="M5"/>
  <c r="L5"/>
  <c r="K4"/>
  <c r="K17"/>
  <c r="J4"/>
  <c r="J17"/>
  <c r="H4"/>
  <c r="H17"/>
  <c r="AB12" i="9"/>
  <c r="Z12"/>
  <c r="X12"/>
  <c r="T12"/>
  <c r="R12"/>
  <c r="P12"/>
  <c r="L12"/>
  <c r="J12"/>
  <c r="H12"/>
  <c r="AD11"/>
  <c r="AC11"/>
  <c r="AA11"/>
  <c r="Y11"/>
  <c r="AE11"/>
  <c r="V11"/>
  <c r="U11"/>
  <c r="S11"/>
  <c r="Q11"/>
  <c r="W11"/>
  <c r="M11"/>
  <c r="K11"/>
  <c r="I11"/>
  <c r="O11"/>
  <c r="AF11"/>
  <c r="AD10"/>
  <c r="AC10"/>
  <c r="AA10"/>
  <c r="Y10"/>
  <c r="AE10"/>
  <c r="AF10"/>
  <c r="V10"/>
  <c r="U10"/>
  <c r="S10"/>
  <c r="Q10"/>
  <c r="W10"/>
  <c r="M10"/>
  <c r="K10"/>
  <c r="I10"/>
  <c r="O10"/>
  <c r="AD9"/>
  <c r="AC9"/>
  <c r="AA9"/>
  <c r="Y9"/>
  <c r="AE9"/>
  <c r="AF9"/>
  <c r="V9"/>
  <c r="U9"/>
  <c r="S9"/>
  <c r="Q9"/>
  <c r="W9"/>
  <c r="M9"/>
  <c r="K9"/>
  <c r="I9"/>
  <c r="O9"/>
  <c r="AD8"/>
  <c r="AC8"/>
  <c r="AA8"/>
  <c r="Y8"/>
  <c r="AE8"/>
  <c r="V8"/>
  <c r="U8"/>
  <c r="S8"/>
  <c r="Q8"/>
  <c r="W8"/>
  <c r="M8"/>
  <c r="K8"/>
  <c r="I8"/>
  <c r="O8"/>
  <c r="AD7"/>
  <c r="AC7"/>
  <c r="AA7"/>
  <c r="Y7"/>
  <c r="AE7"/>
  <c r="V7"/>
  <c r="U7"/>
  <c r="S7"/>
  <c r="Q7"/>
  <c r="W7"/>
  <c r="M7"/>
  <c r="K7"/>
  <c r="I7"/>
  <c r="O7"/>
  <c r="AD6"/>
  <c r="AC6"/>
  <c r="AA6"/>
  <c r="Y6"/>
  <c r="AE6"/>
  <c r="V6"/>
  <c r="U6"/>
  <c r="S6"/>
  <c r="Q6"/>
  <c r="W6"/>
  <c r="M6"/>
  <c r="K6"/>
  <c r="I6"/>
  <c r="O6"/>
  <c r="AF6"/>
  <c r="AD5"/>
  <c r="AC5"/>
  <c r="AA5"/>
  <c r="Y5"/>
  <c r="AE5"/>
  <c r="V5"/>
  <c r="U5"/>
  <c r="S5"/>
  <c r="Q5"/>
  <c r="W5"/>
  <c r="M5"/>
  <c r="K5"/>
  <c r="I5"/>
  <c r="O5"/>
  <c r="AF5"/>
  <c r="AD4"/>
  <c r="AD12"/>
  <c r="AC4"/>
  <c r="AC12"/>
  <c r="AA4"/>
  <c r="AA12"/>
  <c r="Y4"/>
  <c r="Y12"/>
  <c r="V4"/>
  <c r="V12"/>
  <c r="U4"/>
  <c r="U12"/>
  <c r="S4"/>
  <c r="S12"/>
  <c r="Q4"/>
  <c r="Q12"/>
  <c r="M4"/>
  <c r="M12"/>
  <c r="K4"/>
  <c r="K12"/>
  <c r="I4"/>
  <c r="I12"/>
  <c r="BH5" i="5"/>
  <c r="BH6"/>
  <c r="BH7"/>
  <c r="BH8"/>
  <c r="BH10"/>
  <c r="BH11"/>
  <c r="BH12"/>
  <c r="BH13"/>
  <c r="BH14"/>
  <c r="BH15"/>
  <c r="BH16"/>
  <c r="BH17"/>
  <c r="BH4"/>
  <c r="BH18"/>
  <c r="BG5"/>
  <c r="BI5"/>
  <c r="BG6"/>
  <c r="BI6"/>
  <c r="BG7"/>
  <c r="BI7"/>
  <c r="BG8"/>
  <c r="BI8"/>
  <c r="BG10"/>
  <c r="BI10"/>
  <c r="BG11"/>
  <c r="BI11"/>
  <c r="BG12"/>
  <c r="BI12"/>
  <c r="BG13"/>
  <c r="BI13"/>
  <c r="BG14"/>
  <c r="BI14"/>
  <c r="BG15"/>
  <c r="BI15"/>
  <c r="BG16"/>
  <c r="BI16"/>
  <c r="BG17"/>
  <c r="BI17"/>
  <c r="BG4"/>
  <c r="BG18"/>
  <c r="AV5"/>
  <c r="AV6"/>
  <c r="AV7"/>
  <c r="AV8"/>
  <c r="AV10"/>
  <c r="AV11"/>
  <c r="AV12"/>
  <c r="AV13"/>
  <c r="AV14"/>
  <c r="AV15"/>
  <c r="AV16"/>
  <c r="AV17"/>
  <c r="AU5"/>
  <c r="AU6"/>
  <c r="AU7"/>
  <c r="AU8"/>
  <c r="AU10"/>
  <c r="AU11"/>
  <c r="AU12"/>
  <c r="AU13"/>
  <c r="AU14"/>
  <c r="AU15"/>
  <c r="AU16"/>
  <c r="AU17"/>
  <c r="AS5"/>
  <c r="AW5"/>
  <c r="AS6"/>
  <c r="AW6"/>
  <c r="AS7"/>
  <c r="AW7"/>
  <c r="AS8"/>
  <c r="AW8"/>
  <c r="AS10"/>
  <c r="AW10"/>
  <c r="AS11"/>
  <c r="AW11"/>
  <c r="AS12"/>
  <c r="AW12"/>
  <c r="AS13"/>
  <c r="AW13"/>
  <c r="AS14"/>
  <c r="AW14"/>
  <c r="AS15"/>
  <c r="AW15"/>
  <c r="AS16"/>
  <c r="AW16"/>
  <c r="AS17"/>
  <c r="AW17"/>
  <c r="AZ5"/>
  <c r="AZ6"/>
  <c r="AZ18"/>
  <c r="AZ7"/>
  <c r="AZ8"/>
  <c r="AZ10"/>
  <c r="AZ11"/>
  <c r="AZ12"/>
  <c r="AZ13"/>
  <c r="AZ14"/>
  <c r="AZ15"/>
  <c r="AZ16"/>
  <c r="AZ17"/>
  <c r="AY5"/>
  <c r="BA5"/>
  <c r="AY6"/>
  <c r="BA6"/>
  <c r="AY7"/>
  <c r="BA7"/>
  <c r="AY8"/>
  <c r="BA8"/>
  <c r="AY10"/>
  <c r="BA10"/>
  <c r="AY11"/>
  <c r="BA11"/>
  <c r="AY12"/>
  <c r="BA12"/>
  <c r="AY13"/>
  <c r="BA13"/>
  <c r="AY14"/>
  <c r="BA14"/>
  <c r="AY15"/>
  <c r="BA15"/>
  <c r="AY16"/>
  <c r="BA16"/>
  <c r="AY17"/>
  <c r="BA17"/>
  <c r="BD5"/>
  <c r="BD6"/>
  <c r="BD7"/>
  <c r="BD8"/>
  <c r="BD10"/>
  <c r="BD11"/>
  <c r="BD12"/>
  <c r="BD13"/>
  <c r="BD14"/>
  <c r="BD15"/>
  <c r="BD16"/>
  <c r="BD17"/>
  <c r="BC5"/>
  <c r="BE5"/>
  <c r="BC6"/>
  <c r="BE6"/>
  <c r="BC7"/>
  <c r="BE7"/>
  <c r="BC8"/>
  <c r="BE8"/>
  <c r="BC10"/>
  <c r="BE10"/>
  <c r="BC11"/>
  <c r="BE11"/>
  <c r="BC12"/>
  <c r="BE12"/>
  <c r="BC13"/>
  <c r="BE13"/>
  <c r="BC14"/>
  <c r="BE14"/>
  <c r="BC15"/>
  <c r="BE15"/>
  <c r="BC16"/>
  <c r="BE16"/>
  <c r="BC17"/>
  <c r="BE17"/>
  <c r="AJ13"/>
  <c r="AJ14"/>
  <c r="AJ15"/>
  <c r="AJ16"/>
  <c r="AJ17"/>
  <c r="AI13"/>
  <c r="AI14"/>
  <c r="AI15"/>
  <c r="AI16"/>
  <c r="AI17"/>
  <c r="AG13"/>
  <c r="AG14"/>
  <c r="AK14"/>
  <c r="AG15"/>
  <c r="AK15"/>
  <c r="AG16"/>
  <c r="AK16"/>
  <c r="AG17"/>
  <c r="AK17"/>
  <c r="AP5"/>
  <c r="AP6"/>
  <c r="AP7"/>
  <c r="AP8"/>
  <c r="AP10"/>
  <c r="AP11"/>
  <c r="AP12"/>
  <c r="AP13"/>
  <c r="AP14"/>
  <c r="AP15"/>
  <c r="AP16"/>
  <c r="AP17"/>
  <c r="AO5"/>
  <c r="AO6"/>
  <c r="AO7"/>
  <c r="AO8"/>
  <c r="AO10"/>
  <c r="AO11"/>
  <c r="AO12"/>
  <c r="AO13"/>
  <c r="AO14"/>
  <c r="AO15"/>
  <c r="AO16"/>
  <c r="AO17"/>
  <c r="AM5"/>
  <c r="AQ5"/>
  <c r="AM6"/>
  <c r="AQ6"/>
  <c r="AM7"/>
  <c r="AQ7"/>
  <c r="AM8"/>
  <c r="AQ8"/>
  <c r="AM10"/>
  <c r="AQ10"/>
  <c r="AM11"/>
  <c r="AQ11"/>
  <c r="AM12"/>
  <c r="AQ12"/>
  <c r="AM13"/>
  <c r="AQ13"/>
  <c r="AM14"/>
  <c r="AQ14"/>
  <c r="AM15"/>
  <c r="AQ15"/>
  <c r="AM16"/>
  <c r="AQ16"/>
  <c r="AM17"/>
  <c r="AQ17"/>
  <c r="AD12"/>
  <c r="AD13"/>
  <c r="AD14"/>
  <c r="AD15"/>
  <c r="AD16"/>
  <c r="AD17"/>
  <c r="AA5"/>
  <c r="AA6"/>
  <c r="AA7"/>
  <c r="AA8"/>
  <c r="AA10"/>
  <c r="AA11"/>
  <c r="AA12"/>
  <c r="AA13"/>
  <c r="AA14"/>
  <c r="AA15"/>
  <c r="AA16"/>
  <c r="AA17"/>
  <c r="AC5"/>
  <c r="AC6"/>
  <c r="AC7"/>
  <c r="AC8"/>
  <c r="AC11"/>
  <c r="AC12"/>
  <c r="AC13"/>
  <c r="AC14"/>
  <c r="AE14"/>
  <c r="AC15"/>
  <c r="AC16"/>
  <c r="AE16"/>
  <c r="AC17"/>
  <c r="X5"/>
  <c r="X6"/>
  <c r="X7"/>
  <c r="X8"/>
  <c r="X10"/>
  <c r="X11"/>
  <c r="X12"/>
  <c r="X13"/>
  <c r="X14"/>
  <c r="X15"/>
  <c r="X16"/>
  <c r="X17"/>
  <c r="W5"/>
  <c r="Y5"/>
  <c r="W6"/>
  <c r="Y6"/>
  <c r="W7"/>
  <c r="Y7"/>
  <c r="W8"/>
  <c r="Y8"/>
  <c r="W10"/>
  <c r="Y10"/>
  <c r="W11"/>
  <c r="Y11"/>
  <c r="W12"/>
  <c r="Y12"/>
  <c r="W13"/>
  <c r="Y13"/>
  <c r="W14"/>
  <c r="Y14"/>
  <c r="W15"/>
  <c r="Y15"/>
  <c r="W16"/>
  <c r="Y16"/>
  <c r="W17"/>
  <c r="Y17"/>
  <c r="T13"/>
  <c r="T14"/>
  <c r="T15"/>
  <c r="T16"/>
  <c r="T17"/>
  <c r="S13"/>
  <c r="S14"/>
  <c r="S15"/>
  <c r="S16"/>
  <c r="S17"/>
  <c r="Q13"/>
  <c r="U13"/>
  <c r="Q14"/>
  <c r="Q15"/>
  <c r="Q16"/>
  <c r="Q17"/>
  <c r="U17"/>
  <c r="N5"/>
  <c r="N18"/>
  <c r="N6"/>
  <c r="N7"/>
  <c r="N8"/>
  <c r="N10"/>
  <c r="N11"/>
  <c r="N12"/>
  <c r="N13"/>
  <c r="N14"/>
  <c r="N15"/>
  <c r="N16"/>
  <c r="N17"/>
  <c r="N4"/>
  <c r="M13"/>
  <c r="M14"/>
  <c r="M15"/>
  <c r="M16"/>
  <c r="M17"/>
  <c r="K5"/>
  <c r="K6"/>
  <c r="K7"/>
  <c r="K8"/>
  <c r="K10"/>
  <c r="K11"/>
  <c r="K12"/>
  <c r="K13"/>
  <c r="K14"/>
  <c r="K15"/>
  <c r="K16"/>
  <c r="K17"/>
  <c r="I5"/>
  <c r="I6"/>
  <c r="I7"/>
  <c r="I8"/>
  <c r="I11"/>
  <c r="I12"/>
  <c r="I13"/>
  <c r="O13"/>
  <c r="I14"/>
  <c r="O14"/>
  <c r="I15"/>
  <c r="O15"/>
  <c r="I16"/>
  <c r="O16"/>
  <c r="I17"/>
  <c r="O17"/>
  <c r="O4" i="9"/>
  <c r="AE4"/>
  <c r="L4" i="10"/>
  <c r="M7"/>
  <c r="L17"/>
  <c r="K4" i="11"/>
  <c r="W4" i="9"/>
  <c r="W12"/>
  <c r="AE12" i="5"/>
  <c r="U16"/>
  <c r="U14"/>
  <c r="AE15"/>
  <c r="AK13"/>
  <c r="U15"/>
  <c r="AE17"/>
  <c r="AE13"/>
  <c r="M5"/>
  <c r="O5"/>
  <c r="M6"/>
  <c r="O6"/>
  <c r="M7"/>
  <c r="O7"/>
  <c r="M8"/>
  <c r="O8"/>
  <c r="M10"/>
  <c r="O10"/>
  <c r="M11"/>
  <c r="O11"/>
  <c r="M12"/>
  <c r="O12"/>
  <c r="AF4" i="9"/>
  <c r="L4" i="11"/>
  <c r="BC4" i="5"/>
  <c r="BC18"/>
  <c r="BB18"/>
  <c r="BD4"/>
  <c r="BD18"/>
  <c r="AY4"/>
  <c r="BA4"/>
  <c r="AZ4"/>
  <c r="AX18"/>
  <c r="AV4"/>
  <c r="AU4"/>
  <c r="AT18"/>
  <c r="AR18"/>
  <c r="AS4"/>
  <c r="AP4"/>
  <c r="AP18"/>
  <c r="AO4"/>
  <c r="AN18"/>
  <c r="AL18"/>
  <c r="AM4"/>
  <c r="AQ4"/>
  <c r="AJ5"/>
  <c r="AJ18"/>
  <c r="AJ6"/>
  <c r="AJ7"/>
  <c r="AJ8"/>
  <c r="AJ10"/>
  <c r="AJ11"/>
  <c r="AJ12"/>
  <c r="AJ4"/>
  <c r="W4"/>
  <c r="AY18"/>
  <c r="BE4"/>
  <c r="AO18"/>
  <c r="AS18"/>
  <c r="AU18"/>
  <c r="AV18"/>
  <c r="AW4"/>
  <c r="M4"/>
  <c r="M18"/>
  <c r="L18"/>
  <c r="J18"/>
  <c r="H18"/>
  <c r="K4"/>
  <c r="K18"/>
  <c r="I4"/>
  <c r="O4"/>
  <c r="AG5"/>
  <c r="AG6"/>
  <c r="AG7"/>
  <c r="AG8"/>
  <c r="AG10"/>
  <c r="AK10"/>
  <c r="AG11"/>
  <c r="AK11"/>
  <c r="AG12"/>
  <c r="AG4"/>
  <c r="AK4"/>
  <c r="AF18"/>
  <c r="AI5"/>
  <c r="AK5"/>
  <c r="AI6"/>
  <c r="AI7"/>
  <c r="AI18"/>
  <c r="AI8"/>
  <c r="AK8"/>
  <c r="AI10"/>
  <c r="AI11"/>
  <c r="AI12"/>
  <c r="AI4"/>
  <c r="AK12"/>
  <c r="AK6"/>
  <c r="AD5"/>
  <c r="AD6"/>
  <c r="AD7"/>
  <c r="AD8"/>
  <c r="AD11"/>
  <c r="AD4"/>
  <c r="AB18"/>
  <c r="AC4"/>
  <c r="Z18"/>
  <c r="AE6"/>
  <c r="AE8"/>
  <c r="AE11"/>
  <c r="AA4"/>
  <c r="AE4"/>
  <c r="X4"/>
  <c r="X18"/>
  <c r="Y4"/>
  <c r="Y18"/>
  <c r="V18"/>
  <c r="T5"/>
  <c r="T6"/>
  <c r="T7"/>
  <c r="T18"/>
  <c r="T8"/>
  <c r="T11"/>
  <c r="T12"/>
  <c r="T4"/>
  <c r="P18"/>
  <c r="R18"/>
  <c r="S5"/>
  <c r="S6"/>
  <c r="S7"/>
  <c r="S8"/>
  <c r="S11"/>
  <c r="S12"/>
  <c r="S4"/>
  <c r="Q5"/>
  <c r="U5"/>
  <c r="Q6"/>
  <c r="U6"/>
  <c r="Q7"/>
  <c r="U7"/>
  <c r="Q8"/>
  <c r="U8"/>
  <c r="Q11"/>
  <c r="U11"/>
  <c r="Q12"/>
  <c r="Q4"/>
  <c r="U12"/>
  <c r="AE7"/>
  <c r="AE5"/>
  <c r="AC18"/>
  <c r="S18"/>
  <c r="W18"/>
  <c r="I15" i="14"/>
  <c r="O4"/>
  <c r="AN4"/>
  <c r="AN13"/>
  <c r="AQ13"/>
  <c r="H15"/>
  <c r="AA18" i="5"/>
  <c r="U4"/>
  <c r="AA17" i="16"/>
  <c r="AD17"/>
  <c r="AE5"/>
  <c r="BJ5"/>
  <c r="AE7"/>
  <c r="BJ7"/>
  <c r="AE9"/>
  <c r="BJ9"/>
  <c r="AE11"/>
  <c r="AE13"/>
  <c r="AE15"/>
  <c r="BJ15"/>
  <c r="W17"/>
  <c r="BL6"/>
  <c r="BJ6"/>
  <c r="BL8"/>
  <c r="BJ8"/>
  <c r="BM8"/>
  <c r="BL10"/>
  <c r="BJ10"/>
  <c r="BL12"/>
  <c r="BJ12"/>
  <c r="BM12"/>
  <c r="BL14"/>
  <c r="BJ14"/>
  <c r="BL16"/>
  <c r="BJ16"/>
  <c r="BM16"/>
  <c r="BL7"/>
  <c r="BL9"/>
  <c r="BL11"/>
  <c r="BJ11"/>
  <c r="BM11"/>
  <c r="Y4"/>
  <c r="Y17"/>
  <c r="AE4"/>
  <c r="AK4"/>
  <c r="AK17"/>
  <c r="AQ4"/>
  <c r="AQ17"/>
  <c r="AW4"/>
  <c r="AW17"/>
  <c r="BE4"/>
  <c r="BE17"/>
  <c r="I17"/>
  <c r="Q17"/>
  <c r="BA4"/>
  <c r="BA17"/>
  <c r="BI4"/>
  <c r="BI17"/>
  <c r="AE17"/>
  <c r="BM9"/>
  <c r="BM7"/>
  <c r="BM14"/>
  <c r="BM10"/>
  <c r="BM6"/>
  <c r="I20" i="15"/>
  <c r="BM15" i="16"/>
  <c r="BL15"/>
  <c r="BJ13"/>
  <c r="BM13"/>
  <c r="BL13"/>
  <c r="AQ4" i="14"/>
  <c r="AN15"/>
  <c r="AQ15"/>
  <c r="O12" i="9"/>
  <c r="AE12"/>
  <c r="AF7"/>
  <c r="AF8"/>
  <c r="AN6" i="14"/>
  <c r="AQ6"/>
  <c r="O15"/>
  <c r="BJ4" i="5"/>
  <c r="BL4"/>
  <c r="AF12" i="9"/>
  <c r="AH6"/>
  <c r="L5" i="11"/>
  <c r="L10"/>
  <c r="K10"/>
  <c r="BL5" i="16"/>
  <c r="BM5"/>
  <c r="I18" i="5"/>
  <c r="AM18"/>
  <c r="BI4"/>
  <c r="N5" i="10"/>
  <c r="Q15" i="14"/>
  <c r="O4" i="16"/>
  <c r="BJ4"/>
  <c r="O17"/>
  <c r="BL4"/>
  <c r="BL17"/>
  <c r="BM4" i="5"/>
  <c r="BM4" i="16"/>
  <c r="BJ17"/>
  <c r="BM17"/>
  <c r="BJ12" i="5"/>
  <c r="BL12"/>
  <c r="BL5"/>
  <c r="BJ5"/>
  <c r="O18"/>
  <c r="BL17"/>
  <c r="BJ17"/>
  <c r="BM17"/>
  <c r="BJ15"/>
  <c r="BL15"/>
  <c r="BL13"/>
  <c r="BJ13"/>
  <c r="BM13"/>
  <c r="U18"/>
  <c r="BJ11"/>
  <c r="BM11"/>
  <c r="BL11"/>
  <c r="BL8"/>
  <c r="BJ8"/>
  <c r="BJ6"/>
  <c r="BM6"/>
  <c r="BL6"/>
  <c r="BJ16"/>
  <c r="BM16"/>
  <c r="BL16"/>
  <c r="BJ14"/>
  <c r="BL14"/>
  <c r="AK7"/>
  <c r="Q18"/>
  <c r="AG18"/>
  <c r="BM14"/>
  <c r="BM8"/>
  <c r="BM15"/>
  <c r="BM5"/>
  <c r="BJ7"/>
  <c r="BL7"/>
  <c r="BM12"/>
  <c r="BM7"/>
  <c r="BJ10"/>
  <c r="BL10"/>
  <c r="BL18"/>
  <c r="AE18"/>
  <c r="BM10"/>
  <c r="BJ18"/>
  <c r="BM18"/>
</calcChain>
</file>

<file path=xl/comments1.xml><?xml version="1.0" encoding="utf-8"?>
<comments xmlns="http://schemas.openxmlformats.org/spreadsheetml/2006/main">
  <authors>
    <author>Roberta Fernandes Castor</author>
  </authors>
  <commentList>
    <comment ref="AA4" authorId="0">
      <text>
        <r>
          <rPr>
            <b/>
            <sz val="9"/>
            <color indexed="81"/>
            <rFont val="Tahoma"/>
            <charset val="1"/>
          </rPr>
          <t>Roberta Fernandes Castor:</t>
        </r>
        <r>
          <rPr>
            <sz val="9"/>
            <color indexed="81"/>
            <rFont val="Tahoma"/>
            <charset val="1"/>
          </rPr>
          <t xml:space="preserve">
nov/2014</t>
        </r>
      </text>
    </comment>
    <comment ref="AA6" authorId="0">
      <text>
        <r>
          <rPr>
            <b/>
            <sz val="9"/>
            <color indexed="81"/>
            <rFont val="Tahoma"/>
            <charset val="1"/>
          </rPr>
          <t>Roberta Fernandes Castor:</t>
        </r>
        <r>
          <rPr>
            <sz val="9"/>
            <color indexed="81"/>
            <rFont val="Tahoma"/>
            <charset val="1"/>
          </rPr>
          <t xml:space="preserve">
nov/2014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BC10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março 2013</t>
        </r>
      </text>
    </comment>
    <comment ref="AA13" authorId="0">
      <text>
        <r>
          <rPr>
            <b/>
            <sz val="9"/>
            <color indexed="81"/>
            <rFont val="Tahoma"/>
            <charset val="1"/>
          </rPr>
          <t>Roberta Fernandes Castor:</t>
        </r>
        <r>
          <rPr>
            <sz val="9"/>
            <color indexed="81"/>
            <rFont val="Tahoma"/>
            <charset val="1"/>
          </rPr>
          <t xml:space="preserve">
nov2014</t>
        </r>
      </text>
    </comment>
    <comment ref="AA17" authorId="0">
      <text>
        <r>
          <rPr>
            <b/>
            <sz val="9"/>
            <color indexed="81"/>
            <rFont val="Tahoma"/>
            <charset val="1"/>
          </rPr>
          <t>Roberta Fernandes Castor:</t>
        </r>
        <r>
          <rPr>
            <sz val="9"/>
            <color indexed="81"/>
            <rFont val="Tahoma"/>
            <charset val="1"/>
          </rPr>
          <t xml:space="preserve">
dez/2013</t>
        </r>
      </text>
    </comment>
    <comment ref="BC17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março 2013</t>
        </r>
      </text>
    </comment>
  </commentList>
</comments>
</file>

<file path=xl/comments2.xml><?xml version="1.0" encoding="utf-8"?>
<comments xmlns="http://schemas.openxmlformats.org/spreadsheetml/2006/main">
  <authors>
    <author>Roberta Fernandes Castor</author>
  </authors>
  <commentList>
    <comment ref="P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Roberta Fernandes Castor:</t>
        </r>
        <r>
          <rPr>
            <sz val="9"/>
            <color indexed="81"/>
            <rFont val="Tahoma"/>
            <family val="2"/>
          </rPr>
          <t xml:space="preserve">
previsão março/13</t>
        </r>
      </text>
    </comment>
  </commentList>
</comments>
</file>

<file path=xl/sharedStrings.xml><?xml version="1.0" encoding="utf-8"?>
<sst xmlns="http://schemas.openxmlformats.org/spreadsheetml/2006/main" count="793" uniqueCount="189">
  <si>
    <t>REGIÃO DE SAÚDE</t>
  </si>
  <si>
    <t>MUNICÍPIO</t>
  </si>
  <si>
    <t>ESFERA ADMINISTRATIVA</t>
  </si>
  <si>
    <t>TIPO DE GESTÃO</t>
  </si>
  <si>
    <t>NATUREZA DE ORGANIZAÇÃO</t>
  </si>
  <si>
    <t>TOTAL</t>
  </si>
  <si>
    <t>FINANCEIRO (ANUAL)</t>
  </si>
  <si>
    <t>INFORMAÇÕES GERAIS</t>
  </si>
  <si>
    <t>CENTRAL DE REGULAÇÃO MÉDICA DAS URGÊNCIAS</t>
  </si>
  <si>
    <t>FISICO</t>
  </si>
  <si>
    <t>HABILITAÇÃO</t>
  </si>
  <si>
    <t>UNIDADE DE SUPORTE BÁSICO - USB</t>
  </si>
  <si>
    <t>EQUIPE DE AEROMÉDICO</t>
  </si>
  <si>
    <t>UNIDADE DE SUPORTE AVANÇADO - USA</t>
  </si>
  <si>
    <t>MOTOLÂNCIA</t>
  </si>
  <si>
    <t>HABILITAÇÃO/QUALIFICAÇÃO</t>
  </si>
  <si>
    <t>VIR</t>
  </si>
  <si>
    <t>CUSTEIO TOTAL ANUAL</t>
  </si>
  <si>
    <t>FÍSICO</t>
  </si>
  <si>
    <t>CUSTEIO TOTAL POR ESTABELECIMENTO (ANUAL)</t>
  </si>
  <si>
    <t>QUALIFICAÇÃO</t>
  </si>
  <si>
    <t xml:space="preserve">ENFERMARIA CLÍNICA DE RETAGUARDA </t>
  </si>
  <si>
    <t>LEITOS NOVOS (HABILITAÇÃO)</t>
  </si>
  <si>
    <t xml:space="preserve">QUALIFICAÇÃO/CUSTEIO </t>
  </si>
  <si>
    <t>ENFERMARIA DE RETAGUARDA DE LONGA PERMANÊNCIA</t>
  </si>
  <si>
    <t>LEITOS DE TERAPIA INTENSIVA (TIPO II)</t>
  </si>
  <si>
    <t>LEITOS DE TERAPIA INTENSIVA (TIPO III)</t>
  </si>
  <si>
    <t>UTI PEDIÁTRICA  (TIPO II)</t>
  </si>
  <si>
    <t>UTI PEDIÁTRICA  (TIPO III)</t>
  </si>
  <si>
    <t>ATENÇÃO DOMICILIAR</t>
  </si>
  <si>
    <t>EMAD</t>
  </si>
  <si>
    <t>EMAP</t>
  </si>
  <si>
    <t>UPA PORTE I</t>
  </si>
  <si>
    <t>UPA PORTE II</t>
  </si>
  <si>
    <t>UPA NOVA (HABILITAÇÃO/CUSTEIO)</t>
  </si>
  <si>
    <t>UPA PORTE III</t>
  </si>
  <si>
    <t>AMPLIADA E REFORMADA</t>
  </si>
  <si>
    <t>CUSTEIO DE PORTAS DE ENTRADA HOSPITALARES DE URGÊNCIA</t>
  </si>
  <si>
    <t>ESPECIALIZADO</t>
  </si>
  <si>
    <t>TIPO I</t>
  </si>
  <si>
    <t>TIPO II</t>
  </si>
  <si>
    <t>U-AVC AGUDO</t>
  </si>
  <si>
    <t>LEITOS NOVOS</t>
  </si>
  <si>
    <t>U-AVC INTEGRAL</t>
  </si>
  <si>
    <t>CNES</t>
  </si>
  <si>
    <t>Região de Saúde de Joinville</t>
  </si>
  <si>
    <t>Municipal</t>
  </si>
  <si>
    <t>Estadual</t>
  </si>
  <si>
    <t>Região de Saúde de Jaraguá do Sul</t>
  </si>
  <si>
    <t>Região de Saúde de Canoinhas</t>
  </si>
  <si>
    <t>Dupla</t>
  </si>
  <si>
    <t>Região de Saúde de Mafra</t>
  </si>
  <si>
    <t>REGIÃO DE SAÚDE DE JOINVILLE</t>
  </si>
  <si>
    <t>JOINVILLE</t>
  </si>
  <si>
    <t>HOSPITAL MUNICIPAL SÃO JOSÉ</t>
  </si>
  <si>
    <t>ADMINISTRAÇÃO INDIRETA - AUTARQUIAS</t>
  </si>
  <si>
    <t>MUNICIPAL</t>
  </si>
  <si>
    <t>HOSPITAL INFANTIL JESSER AMARANTE FARIA</t>
  </si>
  <si>
    <t>ENTIDADE BENEFICENTE SEM FINS LUCRATIVOS</t>
  </si>
  <si>
    <t>PRIVADA</t>
  </si>
  <si>
    <t>HOSPITAL REGIONAL HANS DIETER SCHMIDT</t>
  </si>
  <si>
    <t>ADMINISTRAÇÃO DIRETA DE SAÚDE</t>
  </si>
  <si>
    <t>ESTADUAL</t>
  </si>
  <si>
    <t>HOSPITAL BETHESDA</t>
  </si>
  <si>
    <t>SÃO FRANCISCO DO SUL</t>
  </si>
  <si>
    <t>HOSPITAL E MATERNIDADE MUNICIPAL NOSSA SENHORA DA GRAÇA</t>
  </si>
  <si>
    <t>REGIÃO DE SAÚDE DE JARAGUÁ DO SUL</t>
  </si>
  <si>
    <t>JARAGUÁ DO SUL</t>
  </si>
  <si>
    <t>HOSPITAL E MATERNIDADE SÃO JOSÉ</t>
  </si>
  <si>
    <t>GUARAMIRIM</t>
  </si>
  <si>
    <t>HOSPITAL PADRE MATHIAS MARIA STEIN</t>
  </si>
  <si>
    <t>REGIÃO DE SAÚDE DE CANOINHAS</t>
  </si>
  <si>
    <t>TRÊS BARRAS</t>
  </si>
  <si>
    <t>FUNDAÇÃO HOSPITALAR DE TRÊS BARRAS</t>
  </si>
  <si>
    <t>PORTO UNIÃO</t>
  </si>
  <si>
    <t>HOSPITAL DE CARIDADE SÃO BRÁZ</t>
  </si>
  <si>
    <t>DUPLA</t>
  </si>
  <si>
    <t>CANOINHAS</t>
  </si>
  <si>
    <t>HOSPITAL SANTA CRUZ DE CANOINHAS</t>
  </si>
  <si>
    <t>REGIÃO DE SAÚDE DE MAFRA</t>
  </si>
  <si>
    <t>RIO NEGRINHO</t>
  </si>
  <si>
    <t>FUNDAÇÃO HOSPITALAR RIO NEGRINHO</t>
  </si>
  <si>
    <t>SÃO BENTO DO SUL</t>
  </si>
  <si>
    <t>HOSPITAL E MATERNIDADE SAGRADA FAMÍLIA /SOCIEDADE DE MÃE DIVINA PROVIDÊNCIA</t>
  </si>
  <si>
    <t>MAFRA</t>
  </si>
  <si>
    <t>HOSPITAL SÃO VICENTE DE PAULA/ ASSOCIAÇÃO DE CARIDADE SÃO VICENTE DE PAULA</t>
  </si>
  <si>
    <t>LEITOS DE UNIDADE DE TERAPIA INTENSIVA CORONARIANA (UCO)</t>
  </si>
  <si>
    <t>INSTITUIÇÃO</t>
  </si>
  <si>
    <t>EM PROJETO</t>
  </si>
  <si>
    <t>UPA VILA NOVA (OESTE)</t>
  </si>
  <si>
    <t>PA 24 HORAS ITAUM (SUL)</t>
  </si>
  <si>
    <t>PA 24 HORAS AVENTUREIRO (LESTE)</t>
  </si>
  <si>
    <t>UPA (UNIDADE DE PRONTO ATENDIMENTO) UBATUBA</t>
  </si>
  <si>
    <t>EM CONSTRUÇÃO</t>
  </si>
  <si>
    <t>Serviço de OPD</t>
  </si>
  <si>
    <t>Administração Direta de Saúde</t>
  </si>
  <si>
    <t>UBS Sede Vila Nova</t>
  </si>
  <si>
    <t>UBS Saguaçú</t>
  </si>
  <si>
    <t>UBS Sede Floresta</t>
  </si>
  <si>
    <t>UBS Sede Fátima</t>
  </si>
  <si>
    <t>UBS Sede Comosa</t>
  </si>
  <si>
    <t>UBS Paulas</t>
  </si>
  <si>
    <t>UBS Rocio Grande</t>
  </si>
  <si>
    <t>Posto de Assistência Médica - Policlínica</t>
  </si>
  <si>
    <t>Unidade Básica Central - UBS</t>
  </si>
  <si>
    <t>Centro Integrado de Saúde - UBS</t>
  </si>
  <si>
    <t>Administração Indireta de Saúde - Empresa Pública</t>
  </si>
  <si>
    <t>UBS Campo da Água Verde</t>
  </si>
  <si>
    <t>Centro de Atendimento Especiais</t>
  </si>
  <si>
    <t>CUSTEIO DE SALAS DE ESTABILIZAÇÃO</t>
  </si>
  <si>
    <t>CONVENCIONAL</t>
  </si>
  <si>
    <t>NORDESTE, AMAZÔNIA LEGAL E EXTREMA POBREZA</t>
  </si>
  <si>
    <t>Massaranduba</t>
  </si>
  <si>
    <t>Pronto Atendimento 24 horas</t>
  </si>
  <si>
    <t>Barra Velha</t>
  </si>
  <si>
    <t>Itapoá</t>
  </si>
  <si>
    <t>Monte Castelo</t>
  </si>
  <si>
    <t>Sociedade Hosp Comum Pe Clemente Kampam</t>
  </si>
  <si>
    <t>Municipal/Estadual</t>
  </si>
  <si>
    <t>Papanduva</t>
  </si>
  <si>
    <t>Hospital São Sebastião</t>
  </si>
  <si>
    <t>Irineópolis</t>
  </si>
  <si>
    <t>Hospital Municipal Bom Jesus</t>
  </si>
  <si>
    <t>O custeio das Unidades de Suporte Básico - USB é de gestão Municipal, portanto o recurso é repassado ao município.</t>
  </si>
  <si>
    <t>O custeio das Unidades de Suporte Avançado - USA e da Central de Regulação de joinville é de gestão Estadual, portanto o recurso é repassado ao Estado.</t>
  </si>
  <si>
    <t>IMPACTO FINANCEIRO NO TETO MAC</t>
  </si>
  <si>
    <t>COMPONENTE</t>
  </si>
  <si>
    <t>Recurso de Investimento</t>
  </si>
  <si>
    <t>Recurso de Custeio/mês Qualificado</t>
  </si>
  <si>
    <t>Recurso de Custeio/ano Qualificado</t>
  </si>
  <si>
    <t>SALA DE ESTABILIZAÇÃO</t>
  </si>
  <si>
    <t>UPA</t>
  </si>
  <si>
    <t>VEÍCULOS SAMU 192</t>
  </si>
  <si>
    <t>CENTRAL DE REGULAÇÃO SAMU 192 REGIONALIZADA</t>
  </si>
  <si>
    <t>PORTAS PRIORITÁRIAS HOSPITALARES</t>
  </si>
  <si>
    <t>LEITOS CLÍNICOS</t>
  </si>
  <si>
    <t>UNIDADES DE CUIDADOS PROLONGADOS</t>
  </si>
  <si>
    <t>LEITOS DE UTI</t>
  </si>
  <si>
    <t>LEITOS UCO</t>
  </si>
  <si>
    <t>LEITOS UAVE</t>
  </si>
  <si>
    <t>GESTÃO</t>
  </si>
  <si>
    <t>IRINEÓPOLIS</t>
  </si>
  <si>
    <t>ITAIÓPOLIS</t>
  </si>
  <si>
    <t>ITAPOÁ</t>
  </si>
  <si>
    <t>Joinville</t>
  </si>
  <si>
    <t>São Francisco do Sul</t>
  </si>
  <si>
    <t>Mafra</t>
  </si>
  <si>
    <t>São Bento do Sul</t>
  </si>
  <si>
    <t>Rio Negrinho</t>
  </si>
  <si>
    <t>Canoinhas</t>
  </si>
  <si>
    <t>Jaraguá do Sul</t>
  </si>
  <si>
    <t>IBGE</t>
  </si>
  <si>
    <t>SAMU</t>
  </si>
  <si>
    <t>AD</t>
  </si>
  <si>
    <t>SE</t>
  </si>
  <si>
    <t>HOSP</t>
  </si>
  <si>
    <t>VALOR APROVADO</t>
  </si>
  <si>
    <t>MASSARANDUBA</t>
  </si>
  <si>
    <t>BARRA VELHA</t>
  </si>
  <si>
    <t>PAPANDUVA</t>
  </si>
  <si>
    <t>DAE</t>
  </si>
  <si>
    <t>RECURSOS IMEDIATOS</t>
  </si>
  <si>
    <t>RECURSOS APROVADOS</t>
  </si>
  <si>
    <t xml:space="preserve">Enfermaria clínica </t>
  </si>
  <si>
    <t>UTI adulto</t>
  </si>
  <si>
    <t>UTI pediátrica</t>
  </si>
  <si>
    <t xml:space="preserve">VALOR APROVADO </t>
  </si>
  <si>
    <t>RECURSOS IMEDIATOS (ANUAL)</t>
  </si>
  <si>
    <t>VALOR IMEDIATO (MÊS)</t>
  </si>
  <si>
    <t>VALOR (7 MESES)</t>
  </si>
  <si>
    <t>portas de entrada</t>
  </si>
  <si>
    <t>VALOR</t>
  </si>
  <si>
    <t>MONTE CASTELO</t>
  </si>
  <si>
    <t>HOSPITAL E MATERNIDADE DE JARAGÁ</t>
  </si>
  <si>
    <t>SUBCOMPONENTE</t>
  </si>
  <si>
    <t>APROVADO</t>
  </si>
  <si>
    <t xml:space="preserve">REPASSE IMEDIATO </t>
  </si>
  <si>
    <t>Novos</t>
  </si>
  <si>
    <t>Qualificação</t>
  </si>
  <si>
    <t>Valor Aprovado</t>
  </si>
  <si>
    <t>Qualificação de portas de entrada de Urgência</t>
  </si>
  <si>
    <t>Leitos em Enfermaria Clínica de Retaguarda</t>
  </si>
  <si>
    <t xml:space="preserve">Leitos de UTI adulto e pediátrico tipo II </t>
  </si>
  <si>
    <t>Leitos de Enfermaria de Longa Permanência</t>
  </si>
  <si>
    <t xml:space="preserve">     </t>
  </si>
  <si>
    <t>Leitos de UTI Coronariana (UCO)</t>
  </si>
  <si>
    <t xml:space="preserve">  </t>
  </si>
  <si>
    <t>Leitos U-AVC</t>
  </si>
  <si>
    <t>COMPONENTE HOSPITALAR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</si>
</sst>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7" formatCode="&quot;R$&quot;\ #,##0.00;[Red]\-&quot;R$&quot;\ #,##0.00"/>
    <numFmt numFmtId="169" formatCode="_-* #,##0_-;\-* #,##0_-;_-* &quot;-&quot;_-;_-@_-"/>
    <numFmt numFmtId="171" formatCode="_-* #,##0.00_-;\-* #,##0.00_-;_-* &quot;-&quot;??_-;_-@_-"/>
    <numFmt numFmtId="172" formatCode="_-* #,##0_-;\-* #,##0_-;_-* &quot;-&quot;??_-;_-@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5" tint="0.39997558519241921"/>
      </left>
      <right/>
      <top/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/>
    <xf numFmtId="0" fontId="1" fillId="0" borderId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61">
    <xf numFmtId="0" fontId="0" fillId="0" borderId="0" xfId="0"/>
    <xf numFmtId="171" fontId="15" fillId="0" borderId="0" xfId="5" applyFont="1"/>
    <xf numFmtId="0" fontId="3" fillId="0" borderId="1" xfId="0" applyFont="1" applyBorder="1" applyAlignment="1">
      <alignment horizontal="left" vertical="center" wrapText="1"/>
    </xf>
    <xf numFmtId="0" fontId="18" fillId="2" borderId="2" xfId="4" applyFont="1" applyFill="1" applyBorder="1" applyAlignment="1">
      <alignment horizontal="left" vertical="center" wrapText="1"/>
    </xf>
    <xf numFmtId="0" fontId="18" fillId="2" borderId="1" xfId="4" applyFont="1" applyFill="1" applyBorder="1" applyAlignment="1">
      <alignment horizontal="left" vertical="center" wrapText="1"/>
    </xf>
    <xf numFmtId="171" fontId="18" fillId="0" borderId="1" xfId="5" applyFont="1" applyBorder="1"/>
    <xf numFmtId="171" fontId="18" fillId="0" borderId="1" xfId="0" applyNumberFormat="1" applyFont="1" applyBorder="1"/>
    <xf numFmtId="0" fontId="3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71" fontId="3" fillId="3" borderId="1" xfId="0" applyNumberFormat="1" applyFont="1" applyFill="1" applyBorder="1"/>
    <xf numFmtId="172" fontId="3" fillId="3" borderId="1" xfId="0" applyNumberFormat="1" applyFont="1" applyFill="1" applyBorder="1"/>
    <xf numFmtId="172" fontId="19" fillId="4" borderId="1" xfId="5" applyNumberFormat="1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72" fontId="19" fillId="5" borderId="1" xfId="5" applyNumberFormat="1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horizontal="center" vertical="center" wrapText="1"/>
    </xf>
    <xf numFmtId="172" fontId="18" fillId="6" borderId="1" xfId="5" applyNumberFormat="1" applyFont="1" applyFill="1" applyBorder="1"/>
    <xf numFmtId="171" fontId="18" fillId="6" borderId="1" xfId="5" applyFont="1" applyFill="1" applyBorder="1"/>
    <xf numFmtId="172" fontId="18" fillId="7" borderId="1" xfId="5" applyNumberFormat="1" applyFont="1" applyFill="1" applyBorder="1"/>
    <xf numFmtId="171" fontId="18" fillId="7" borderId="1" xfId="5" applyFont="1" applyFill="1" applyBorder="1"/>
    <xf numFmtId="0" fontId="2" fillId="3" borderId="1" xfId="0" applyFont="1" applyFill="1" applyBorder="1" applyAlignment="1">
      <alignment horizontal="left" vertical="center"/>
    </xf>
    <xf numFmtId="0" fontId="20" fillId="8" borderId="3" xfId="4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72" fontId="18" fillId="6" borderId="2" xfId="5" applyNumberFormat="1" applyFont="1" applyFill="1" applyBorder="1"/>
    <xf numFmtId="0" fontId="22" fillId="0" borderId="1" xfId="0" applyFont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172" fontId="2" fillId="3" borderId="1" xfId="0" applyNumberFormat="1" applyFont="1" applyFill="1" applyBorder="1"/>
    <xf numFmtId="171" fontId="2" fillId="3" borderId="1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9" fontId="2" fillId="3" borderId="1" xfId="0" applyNumberFormat="1" applyFont="1" applyFill="1" applyBorder="1"/>
    <xf numFmtId="171" fontId="3" fillId="7" borderId="1" xfId="5" applyFont="1" applyFill="1" applyBorder="1"/>
    <xf numFmtId="172" fontId="3" fillId="7" borderId="1" xfId="5" applyNumberFormat="1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172" fontId="19" fillId="3" borderId="1" xfId="5" applyNumberFormat="1" applyFont="1" applyFill="1" applyBorder="1"/>
    <xf numFmtId="171" fontId="19" fillId="3" borderId="1" xfId="5" applyFont="1" applyFill="1" applyBorder="1"/>
    <xf numFmtId="171" fontId="19" fillId="3" borderId="1" xfId="0" applyNumberFormat="1" applyFont="1" applyFill="1" applyBorder="1"/>
    <xf numFmtId="171" fontId="15" fillId="0" borderId="0" xfId="5" applyFont="1"/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9" borderId="1" xfId="3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wrapText="1"/>
    </xf>
    <xf numFmtId="0" fontId="26" fillId="10" borderId="6" xfId="0" applyFont="1" applyFill="1" applyBorder="1" applyAlignment="1">
      <alignment horizontal="center" wrapText="1"/>
    </xf>
    <xf numFmtId="167" fontId="27" fillId="0" borderId="6" xfId="0" applyNumberFormat="1" applyFont="1" applyBorder="1" applyAlignment="1">
      <alignment horizontal="right" wrapText="1"/>
    </xf>
    <xf numFmtId="167" fontId="28" fillId="0" borderId="6" xfId="0" applyNumberFormat="1" applyFont="1" applyBorder="1" applyAlignment="1">
      <alignment horizontal="right" wrapText="1"/>
    </xf>
    <xf numFmtId="167" fontId="17" fillId="0" borderId="6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72" fontId="18" fillId="6" borderId="1" xfId="5" applyNumberFormat="1" applyFont="1" applyFill="1" applyBorder="1" applyAlignment="1">
      <alignment horizontal="right"/>
    </xf>
    <xf numFmtId="171" fontId="18" fillId="6" borderId="1" xfId="5" applyFont="1" applyFill="1" applyBorder="1" applyAlignment="1">
      <alignment horizontal="right"/>
    </xf>
    <xf numFmtId="171" fontId="18" fillId="0" borderId="1" xfId="5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1" fontId="0" fillId="0" borderId="0" xfId="0" applyNumberForma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1" fontId="2" fillId="3" borderId="1" xfId="5" applyFont="1" applyFill="1" applyBorder="1"/>
    <xf numFmtId="0" fontId="2" fillId="3" borderId="1" xfId="0" applyFont="1" applyFill="1" applyBorder="1"/>
    <xf numFmtId="171" fontId="18" fillId="2" borderId="1" xfId="5" applyFont="1" applyFill="1" applyBorder="1"/>
    <xf numFmtId="0" fontId="2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71" fontId="19" fillId="2" borderId="1" xfId="5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/>
    <xf numFmtId="171" fontId="30" fillId="2" borderId="1" xfId="5" applyFont="1" applyFill="1" applyBorder="1"/>
    <xf numFmtId="171" fontId="31" fillId="2" borderId="1" xfId="5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1" fontId="15" fillId="0" borderId="0" xfId="5" applyFont="1"/>
    <xf numFmtId="167" fontId="27" fillId="3" borderId="6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169" fontId="0" fillId="0" borderId="0" xfId="0" applyNumberFormat="1"/>
    <xf numFmtId="172" fontId="0" fillId="0" borderId="0" xfId="0" applyNumberFormat="1"/>
    <xf numFmtId="0" fontId="21" fillId="0" borderId="1" xfId="0" applyFont="1" applyBorder="1" applyAlignment="1">
      <alignment horizontal="center" vertical="center" wrapText="1"/>
    </xf>
    <xf numFmtId="171" fontId="15" fillId="0" borderId="0" xfId="5" applyFont="1"/>
    <xf numFmtId="3" fontId="0" fillId="0" borderId="0" xfId="0" applyNumberFormat="1"/>
    <xf numFmtId="171" fontId="0" fillId="0" borderId="0" xfId="0" applyNumberFormat="1" applyBorder="1"/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171" fontId="19" fillId="2" borderId="10" xfId="5" applyFont="1" applyFill="1" applyBorder="1" applyAlignment="1">
      <alignment horizontal="center"/>
    </xf>
    <xf numFmtId="171" fontId="19" fillId="2" borderId="11" xfId="5" applyFont="1" applyFill="1" applyBorder="1" applyAlignment="1">
      <alignment horizontal="center"/>
    </xf>
    <xf numFmtId="171" fontId="19" fillId="2" borderId="12" xfId="5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8" fillId="0" borderId="15" xfId="0" applyFont="1" applyBorder="1"/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" xfId="0" applyFont="1" applyBorder="1"/>
    <xf numFmtId="4" fontId="18" fillId="0" borderId="1" xfId="0" applyNumberFormat="1" applyFont="1" applyBorder="1"/>
    <xf numFmtId="171" fontId="18" fillId="0" borderId="17" xfId="5" applyFont="1" applyBorder="1"/>
    <xf numFmtId="4" fontId="18" fillId="0" borderId="1" xfId="0" applyNumberFormat="1" applyFont="1" applyBorder="1" applyAlignment="1">
      <alignment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0" xfId="0" applyFont="1" applyBorder="1"/>
    <xf numFmtId="0" fontId="18" fillId="0" borderId="11" xfId="0" applyFont="1" applyBorder="1"/>
    <xf numFmtId="4" fontId="18" fillId="0" borderId="11" xfId="0" applyNumberFormat="1" applyFont="1" applyBorder="1"/>
    <xf numFmtId="171" fontId="18" fillId="0" borderId="12" xfId="0" applyNumberFormat="1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1" fontId="18" fillId="2" borderId="1" xfId="5" applyFont="1" applyFill="1" applyBorder="1" applyAlignment="1">
      <alignment horizontal="center"/>
    </xf>
    <xf numFmtId="171" fontId="15" fillId="0" borderId="0" xfId="5" applyFont="1"/>
    <xf numFmtId="0" fontId="32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32" fillId="0" borderId="19" xfId="0" applyFont="1" applyBorder="1" applyAlignment="1">
      <alignment horizontal="right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172" fontId="18" fillId="3" borderId="2" xfId="5" applyNumberFormat="1" applyFont="1" applyFill="1" applyBorder="1"/>
    <xf numFmtId="171" fontId="18" fillId="3" borderId="1" xfId="5" applyFont="1" applyFill="1" applyBorder="1"/>
    <xf numFmtId="172" fontId="18" fillId="3" borderId="1" xfId="5" applyNumberFormat="1" applyFont="1" applyFill="1" applyBorder="1"/>
    <xf numFmtId="172" fontId="3" fillId="3" borderId="1" xfId="5" applyNumberFormat="1" applyFont="1" applyFill="1" applyBorder="1"/>
    <xf numFmtId="171" fontId="3" fillId="3" borderId="1" xfId="5" applyFont="1" applyFill="1" applyBorder="1"/>
    <xf numFmtId="0" fontId="0" fillId="3" borderId="0" xfId="0" applyFill="1"/>
    <xf numFmtId="171" fontId="0" fillId="3" borderId="0" xfId="0" applyNumberForma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71" fontId="30" fillId="3" borderId="1" xfId="5" applyFont="1" applyFill="1" applyBorder="1"/>
    <xf numFmtId="171" fontId="18" fillId="3" borderId="1" xfId="0" applyNumberFormat="1" applyFont="1" applyFill="1" applyBorder="1"/>
    <xf numFmtId="171" fontId="15" fillId="0" borderId="0" xfId="5" applyFont="1"/>
    <xf numFmtId="0" fontId="18" fillId="3" borderId="13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4" fontId="18" fillId="3" borderId="1" xfId="0" applyNumberFormat="1" applyFont="1" applyFill="1" applyBorder="1"/>
    <xf numFmtId="171" fontId="18" fillId="3" borderId="17" xfId="5" applyFont="1" applyFill="1" applyBorder="1"/>
    <xf numFmtId="0" fontId="18" fillId="2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/>
    <xf numFmtId="4" fontId="18" fillId="2" borderId="1" xfId="0" applyNumberFormat="1" applyFont="1" applyFill="1" applyBorder="1"/>
    <xf numFmtId="171" fontId="18" fillId="2" borderId="17" xfId="5" applyFont="1" applyFill="1" applyBorder="1"/>
    <xf numFmtId="0" fontId="18" fillId="12" borderId="1" xfId="0" applyFont="1" applyFill="1" applyBorder="1" applyAlignment="1">
      <alignment horizontal="center"/>
    </xf>
    <xf numFmtId="171" fontId="19" fillId="0" borderId="1" xfId="5" applyFont="1" applyBorder="1" applyAlignment="1">
      <alignment horizontal="right"/>
    </xf>
    <xf numFmtId="0" fontId="26" fillId="10" borderId="6" xfId="0" applyFont="1" applyFill="1" applyBorder="1" applyAlignment="1">
      <alignment horizontal="center" wrapText="1"/>
    </xf>
    <xf numFmtId="0" fontId="35" fillId="18" borderId="6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vertical="center"/>
    </xf>
    <xf numFmtId="0" fontId="32" fillId="0" borderId="6" xfId="0" applyFont="1" applyBorder="1" applyAlignment="1">
      <alignment horizontal="right" vertical="center"/>
    </xf>
    <xf numFmtId="4" fontId="32" fillId="0" borderId="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9" fillId="18" borderId="25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4" fontId="36" fillId="9" borderId="6" xfId="0" applyNumberFormat="1" applyFont="1" applyFill="1" applyBorder="1" applyAlignment="1">
      <alignment horizontal="right" vertical="center"/>
    </xf>
    <xf numFmtId="0" fontId="36" fillId="9" borderId="19" xfId="0" applyFont="1" applyFill="1" applyBorder="1" applyAlignment="1">
      <alignment horizontal="center" vertical="center" wrapText="1"/>
    </xf>
    <xf numFmtId="0" fontId="36" fillId="9" borderId="6" xfId="0" applyFont="1" applyFill="1" applyBorder="1" applyAlignment="1">
      <alignment vertical="center" wrapText="1"/>
    </xf>
    <xf numFmtId="4" fontId="32" fillId="9" borderId="6" xfId="0" applyNumberFormat="1" applyFont="1" applyFill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171" fontId="18" fillId="0" borderId="1" xfId="5" applyFont="1" applyBorder="1" applyAlignment="1">
      <alignment horizontal="left"/>
    </xf>
    <xf numFmtId="171" fontId="18" fillId="0" borderId="1" xfId="5" applyFont="1" applyFill="1" applyBorder="1" applyAlignment="1">
      <alignment horizontal="left" vertical="center" wrapText="1"/>
    </xf>
    <xf numFmtId="171" fontId="3" fillId="2" borderId="1" xfId="5" applyFont="1" applyFill="1" applyBorder="1" applyAlignment="1">
      <alignment horizontal="left" vertical="center" wrapText="1"/>
    </xf>
    <xf numFmtId="0" fontId="20" fillId="8" borderId="5" xfId="4" applyFont="1" applyFill="1" applyBorder="1" applyAlignment="1">
      <alignment horizontal="center" vertical="center" wrapText="1"/>
    </xf>
    <xf numFmtId="0" fontId="20" fillId="8" borderId="3" xfId="4" applyFont="1" applyFill="1" applyBorder="1" applyAlignment="1">
      <alignment horizontal="center" vertical="center" wrapText="1"/>
    </xf>
    <xf numFmtId="0" fontId="20" fillId="17" borderId="5" xfId="4" applyFont="1" applyFill="1" applyBorder="1" applyAlignment="1">
      <alignment horizontal="center" vertical="center"/>
    </xf>
    <xf numFmtId="0" fontId="20" fillId="17" borderId="3" xfId="4" applyFont="1" applyFill="1" applyBorder="1" applyAlignment="1">
      <alignment horizontal="center" vertical="center"/>
    </xf>
    <xf numFmtId="0" fontId="20" fillId="17" borderId="2" xfId="4" applyFont="1" applyFill="1" applyBorder="1" applyAlignment="1">
      <alignment horizontal="center" vertical="center"/>
    </xf>
    <xf numFmtId="0" fontId="20" fillId="16" borderId="5" xfId="4" applyFont="1" applyFill="1" applyBorder="1" applyAlignment="1">
      <alignment horizontal="center" vertical="center" wrapText="1"/>
    </xf>
    <xf numFmtId="0" fontId="20" fillId="16" borderId="3" xfId="4" applyFont="1" applyFill="1" applyBorder="1" applyAlignment="1">
      <alignment horizontal="center" vertical="center" wrapText="1"/>
    </xf>
    <xf numFmtId="0" fontId="20" fillId="16" borderId="2" xfId="4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13" borderId="4" xfId="4" applyFont="1" applyFill="1" applyBorder="1" applyAlignment="1">
      <alignment horizontal="center" vertical="center" wrapText="1"/>
    </xf>
    <xf numFmtId="0" fontId="20" fillId="13" borderId="15" xfId="4" applyFont="1" applyFill="1" applyBorder="1" applyAlignment="1">
      <alignment horizontal="center" vertical="center" wrapText="1"/>
    </xf>
    <xf numFmtId="0" fontId="20" fillId="13" borderId="4" xfId="4" applyFont="1" applyFill="1" applyBorder="1" applyAlignment="1">
      <alignment horizontal="center" vertical="center"/>
    </xf>
    <xf numFmtId="0" fontId="20" fillId="13" borderId="15" xfId="4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20" fillId="15" borderId="1" xfId="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0" fillId="8" borderId="2" xfId="4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3" fillId="13" borderId="4" xfId="4" applyFont="1" applyFill="1" applyBorder="1" applyAlignment="1">
      <alignment horizontal="center" vertical="center"/>
    </xf>
    <xf numFmtId="0" fontId="33" fillId="13" borderId="15" xfId="4" applyFont="1" applyFill="1" applyBorder="1" applyAlignment="1">
      <alignment horizontal="center" vertical="center"/>
    </xf>
    <xf numFmtId="0" fontId="33" fillId="13" borderId="4" xfId="4" applyFont="1" applyFill="1" applyBorder="1" applyAlignment="1">
      <alignment horizontal="center" vertical="center" wrapText="1"/>
    </xf>
    <xf numFmtId="0" fontId="33" fillId="13" borderId="15" xfId="4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/>
    </xf>
    <xf numFmtId="0" fontId="20" fillId="13" borderId="20" xfId="4" applyFont="1" applyFill="1" applyBorder="1" applyAlignment="1">
      <alignment horizontal="center" vertical="center" wrapText="1"/>
    </xf>
    <xf numFmtId="0" fontId="20" fillId="13" borderId="20" xfId="4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15" borderId="5" xfId="4" applyFont="1" applyFill="1" applyBorder="1" applyAlignment="1">
      <alignment horizontal="center" vertical="center" wrapText="1"/>
    </xf>
    <xf numFmtId="0" fontId="20" fillId="15" borderId="2" xfId="4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8" fillId="11" borderId="21" xfId="0" applyFont="1" applyFill="1" applyBorder="1" applyAlignment="1">
      <alignment horizontal="center"/>
    </xf>
    <xf numFmtId="0" fontId="18" fillId="11" borderId="22" xfId="0" applyFont="1" applyFill="1" applyBorder="1" applyAlignment="1">
      <alignment horizontal="center"/>
    </xf>
    <xf numFmtId="0" fontId="18" fillId="11" borderId="2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6" fillId="0" borderId="2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6" fillId="10" borderId="24" xfId="0" applyFont="1" applyFill="1" applyBorder="1" applyAlignment="1">
      <alignment horizontal="center" wrapText="1"/>
    </xf>
    <xf numFmtId="0" fontId="26" fillId="10" borderId="6" xfId="0" applyFont="1" applyFill="1" applyBorder="1" applyAlignment="1">
      <alignment horizontal="center" wrapText="1"/>
    </xf>
    <xf numFmtId="0" fontId="28" fillId="3" borderId="21" xfId="0" applyFont="1" applyFill="1" applyBorder="1" applyAlignment="1">
      <alignment horizontal="center" wrapText="1"/>
    </xf>
    <xf numFmtId="0" fontId="28" fillId="3" borderId="23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19" fillId="18" borderId="26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19" fillId="18" borderId="21" xfId="0" applyFont="1" applyFill="1" applyBorder="1" applyAlignment="1">
      <alignment horizontal="center" vertical="center"/>
    </xf>
    <xf numFmtId="0" fontId="19" fillId="18" borderId="22" xfId="0" applyFont="1" applyFill="1" applyBorder="1" applyAlignment="1">
      <alignment horizontal="center" vertical="center"/>
    </xf>
    <xf numFmtId="0" fontId="19" fillId="18" borderId="23" xfId="0" applyFont="1" applyFill="1" applyBorder="1" applyAlignment="1">
      <alignment horizontal="center" vertical="center"/>
    </xf>
    <xf numFmtId="0" fontId="32" fillId="18" borderId="26" xfId="0" applyFont="1" applyFill="1" applyBorder="1" applyAlignment="1">
      <alignment horizontal="right" vertical="center"/>
    </xf>
    <xf numFmtId="0" fontId="32" fillId="18" borderId="19" xfId="0" applyFont="1" applyFill="1" applyBorder="1" applyAlignment="1">
      <alignment horizontal="right" vertical="center"/>
    </xf>
    <xf numFmtId="4" fontId="32" fillId="18" borderId="26" xfId="0" applyNumberFormat="1" applyFont="1" applyFill="1" applyBorder="1" applyAlignment="1">
      <alignment horizontal="right" vertical="center"/>
    </xf>
    <xf numFmtId="4" fontId="32" fillId="18" borderId="19" xfId="0" applyNumberFormat="1" applyFont="1" applyFill="1" applyBorder="1" applyAlignment="1">
      <alignment horizontal="right" vertical="center"/>
    </xf>
  </cellXfs>
  <cellStyles count="7">
    <cellStyle name="Excel Built-in Normal" xfId="1"/>
    <cellStyle name="Excel Built-in Normal 1" xfId="2"/>
    <cellStyle name="Hyperlink" xfId="3" builtinId="8"/>
    <cellStyle name="Normal" xfId="0" builtinId="0"/>
    <cellStyle name="Normal 2" xfId="4"/>
    <cellStyle name="Separador de milhares" xfId="5" builtinId="3"/>
    <cellStyle name="Vírgula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2"/>
  <sheetViews>
    <sheetView workbookViewId="0">
      <selection activeCell="I31" sqref="I31"/>
    </sheetView>
  </sheetViews>
  <sheetFormatPr defaultRowHeight="15"/>
  <cols>
    <col min="1" max="1" width="14.5703125" bestFit="1" customWidth="1"/>
    <col min="2" max="2" width="20.5703125" customWidth="1"/>
    <col min="3" max="3" width="8.85546875" bestFit="1" customWidth="1"/>
    <col min="4" max="4" width="8.5703125" customWidth="1"/>
    <col min="5" max="5" width="13" customWidth="1"/>
    <col min="6" max="6" width="11.5703125" bestFit="1" customWidth="1"/>
    <col min="7" max="7" width="16.140625" customWidth="1"/>
    <col min="9" max="9" width="13.28515625" bestFit="1" customWidth="1"/>
    <col min="10" max="10" width="11.5703125" bestFit="1" customWidth="1"/>
    <col min="11" max="11" width="13.28515625" bestFit="1" customWidth="1"/>
    <col min="12" max="12" width="10.5703125" bestFit="1" customWidth="1"/>
    <col min="13" max="13" width="14.5703125" customWidth="1"/>
    <col min="15" max="15" width="11.140625" bestFit="1" customWidth="1"/>
    <col min="16" max="16" width="11.7109375" customWidth="1"/>
    <col min="17" max="17" width="14.28515625" bestFit="1" customWidth="1"/>
    <col min="18" max="18" width="13.28515625" bestFit="1" customWidth="1"/>
    <col min="19" max="19" width="14.42578125" customWidth="1"/>
    <col min="20" max="20" width="13.28515625" bestFit="1" customWidth="1"/>
    <col min="21" max="21" width="11.140625" bestFit="1" customWidth="1"/>
    <col min="22" max="22" width="10" customWidth="1"/>
    <col min="23" max="23" width="11.28515625" customWidth="1"/>
    <col min="24" max="24" width="10" customWidth="1"/>
    <col min="25" max="25" width="14.5703125" customWidth="1"/>
    <col min="27" max="27" width="9.85546875" customWidth="1"/>
    <col min="28" max="28" width="10" customWidth="1"/>
    <col min="29" max="29" width="12.28515625" customWidth="1"/>
    <col min="30" max="30" width="9.5703125" customWidth="1"/>
    <col min="31" max="31" width="13.85546875" customWidth="1"/>
    <col min="33" max="33" width="10.7109375" customWidth="1"/>
    <col min="35" max="35" width="11.140625" bestFit="1" customWidth="1"/>
    <col min="36" max="36" width="13.28515625" customWidth="1"/>
    <col min="37" max="37" width="11.7109375" customWidth="1"/>
    <col min="39" max="39" width="11.140625" bestFit="1" customWidth="1"/>
    <col min="40" max="40" width="21.42578125" bestFit="1" customWidth="1"/>
    <col min="41" max="43" width="13.28515625" bestFit="1" customWidth="1"/>
  </cols>
  <sheetData>
    <row r="1" spans="1:43" ht="15" customHeight="1">
      <c r="A1" s="195" t="s">
        <v>7</v>
      </c>
      <c r="B1" s="196"/>
      <c r="C1" s="196"/>
      <c r="D1" s="197" t="s">
        <v>8</v>
      </c>
      <c r="E1" s="198"/>
      <c r="F1" s="198"/>
      <c r="G1" s="198"/>
      <c r="H1" s="198"/>
      <c r="I1" s="199"/>
      <c r="J1" s="200" t="s">
        <v>11</v>
      </c>
      <c r="K1" s="201"/>
      <c r="L1" s="201"/>
      <c r="M1" s="201"/>
      <c r="N1" s="201"/>
      <c r="O1" s="202"/>
      <c r="P1" s="197" t="s">
        <v>13</v>
      </c>
      <c r="Q1" s="198"/>
      <c r="R1" s="198"/>
      <c r="S1" s="198"/>
      <c r="T1" s="198"/>
      <c r="U1" s="199"/>
      <c r="V1" s="200" t="s">
        <v>12</v>
      </c>
      <c r="W1" s="201"/>
      <c r="X1" s="201"/>
      <c r="Y1" s="201"/>
      <c r="Z1" s="201"/>
      <c r="AA1" s="202"/>
      <c r="AB1" s="197" t="s">
        <v>14</v>
      </c>
      <c r="AC1" s="198"/>
      <c r="AD1" s="198"/>
      <c r="AE1" s="198"/>
      <c r="AF1" s="198"/>
      <c r="AG1" s="199"/>
      <c r="AH1" s="200" t="s">
        <v>16</v>
      </c>
      <c r="AI1" s="201"/>
      <c r="AJ1" s="201"/>
      <c r="AK1" s="201"/>
      <c r="AL1" s="201"/>
      <c r="AM1" s="202"/>
      <c r="AN1" s="203" t="s">
        <v>17</v>
      </c>
    </row>
    <row r="2" spans="1:43">
      <c r="A2" s="206" t="s">
        <v>0</v>
      </c>
      <c r="B2" s="208" t="s">
        <v>1</v>
      </c>
      <c r="C2" s="208" t="s">
        <v>140</v>
      </c>
      <c r="D2" s="210" t="s">
        <v>10</v>
      </c>
      <c r="E2" s="211"/>
      <c r="F2" s="210" t="s">
        <v>15</v>
      </c>
      <c r="G2" s="211"/>
      <c r="H2" s="210" t="s">
        <v>5</v>
      </c>
      <c r="I2" s="211"/>
      <c r="J2" s="212" t="s">
        <v>10</v>
      </c>
      <c r="K2" s="212"/>
      <c r="L2" s="212" t="s">
        <v>15</v>
      </c>
      <c r="M2" s="212"/>
      <c r="N2" s="212" t="s">
        <v>5</v>
      </c>
      <c r="O2" s="212"/>
      <c r="P2" s="210" t="s">
        <v>10</v>
      </c>
      <c r="Q2" s="211"/>
      <c r="R2" s="210" t="s">
        <v>15</v>
      </c>
      <c r="S2" s="211"/>
      <c r="T2" s="210" t="s">
        <v>5</v>
      </c>
      <c r="U2" s="211"/>
      <c r="V2" s="212" t="s">
        <v>10</v>
      </c>
      <c r="W2" s="212"/>
      <c r="X2" s="212" t="s">
        <v>15</v>
      </c>
      <c r="Y2" s="212"/>
      <c r="Z2" s="212" t="s">
        <v>5</v>
      </c>
      <c r="AA2" s="212"/>
      <c r="AB2" s="210" t="s">
        <v>10</v>
      </c>
      <c r="AC2" s="211"/>
      <c r="AD2" s="210" t="s">
        <v>15</v>
      </c>
      <c r="AE2" s="211"/>
      <c r="AF2" s="210" t="s">
        <v>5</v>
      </c>
      <c r="AG2" s="211"/>
      <c r="AH2" s="212" t="s">
        <v>10</v>
      </c>
      <c r="AI2" s="212"/>
      <c r="AJ2" s="212" t="s">
        <v>15</v>
      </c>
      <c r="AK2" s="212"/>
      <c r="AL2" s="212" t="s">
        <v>5</v>
      </c>
      <c r="AM2" s="212"/>
      <c r="AN2" s="204"/>
    </row>
    <row r="3" spans="1:43" ht="22.5">
      <c r="A3" s="207"/>
      <c r="B3" s="209"/>
      <c r="C3" s="209"/>
      <c r="D3" s="11" t="s">
        <v>9</v>
      </c>
      <c r="E3" s="12" t="s">
        <v>6</v>
      </c>
      <c r="F3" s="11" t="s">
        <v>9</v>
      </c>
      <c r="G3" s="12" t="s">
        <v>6</v>
      </c>
      <c r="H3" s="13" t="s">
        <v>9</v>
      </c>
      <c r="I3" s="14" t="s">
        <v>6</v>
      </c>
      <c r="J3" s="15" t="s">
        <v>9</v>
      </c>
      <c r="K3" s="16" t="s">
        <v>6</v>
      </c>
      <c r="L3" s="15" t="s">
        <v>9</v>
      </c>
      <c r="M3" s="16" t="s">
        <v>6</v>
      </c>
      <c r="N3" s="15" t="s">
        <v>9</v>
      </c>
      <c r="O3" s="16" t="s">
        <v>6</v>
      </c>
      <c r="P3" s="11" t="s">
        <v>9</v>
      </c>
      <c r="Q3" s="12" t="s">
        <v>6</v>
      </c>
      <c r="R3" s="11" t="s">
        <v>9</v>
      </c>
      <c r="S3" s="12" t="s">
        <v>6</v>
      </c>
      <c r="T3" s="13" t="s">
        <v>9</v>
      </c>
      <c r="U3" s="14" t="s">
        <v>6</v>
      </c>
      <c r="V3" s="15" t="s">
        <v>9</v>
      </c>
      <c r="W3" s="16" t="s">
        <v>6</v>
      </c>
      <c r="X3" s="15" t="s">
        <v>9</v>
      </c>
      <c r="Y3" s="16" t="s">
        <v>6</v>
      </c>
      <c r="Z3" s="15" t="s">
        <v>9</v>
      </c>
      <c r="AA3" s="16" t="s">
        <v>6</v>
      </c>
      <c r="AB3" s="11" t="s">
        <v>9</v>
      </c>
      <c r="AC3" s="12" t="s">
        <v>6</v>
      </c>
      <c r="AD3" s="11" t="s">
        <v>9</v>
      </c>
      <c r="AE3" s="12" t="s">
        <v>6</v>
      </c>
      <c r="AF3" s="13" t="s">
        <v>9</v>
      </c>
      <c r="AG3" s="14" t="s">
        <v>6</v>
      </c>
      <c r="AH3" s="15" t="s">
        <v>9</v>
      </c>
      <c r="AI3" s="16" t="s">
        <v>6</v>
      </c>
      <c r="AJ3" s="15" t="s">
        <v>9</v>
      </c>
      <c r="AK3" s="16" t="s">
        <v>6</v>
      </c>
      <c r="AL3" s="15" t="s">
        <v>9</v>
      </c>
      <c r="AM3" s="16" t="s">
        <v>6</v>
      </c>
      <c r="AN3" s="205"/>
      <c r="AP3" s="96" t="s">
        <v>160</v>
      </c>
    </row>
    <row r="4" spans="1:43">
      <c r="A4" s="2"/>
      <c r="B4" s="86" t="s">
        <v>77</v>
      </c>
      <c r="C4" s="76" t="s">
        <v>62</v>
      </c>
      <c r="D4" s="19">
        <v>0</v>
      </c>
      <c r="E4" s="20">
        <f t="shared" ref="E4:E14" si="0">D4*(49000)*12</f>
        <v>0</v>
      </c>
      <c r="F4" s="19">
        <v>0</v>
      </c>
      <c r="G4" s="20">
        <f t="shared" ref="G4:G14" si="1">F4*(81830-49000)*12</f>
        <v>0</v>
      </c>
      <c r="H4" s="19">
        <f t="shared" ref="H4:H14" si="2">D4+F4</f>
        <v>0</v>
      </c>
      <c r="I4" s="20">
        <f t="shared" ref="I4:I14" si="3">SUM(E4+G4)</f>
        <v>0</v>
      </c>
      <c r="J4" s="17">
        <v>0</v>
      </c>
      <c r="K4" s="18">
        <f t="shared" ref="K4:K14" si="4">J4*12500*12</f>
        <v>0</v>
      </c>
      <c r="L4" s="17">
        <v>1</v>
      </c>
      <c r="M4" s="18">
        <f t="shared" ref="M4:M14" si="5">L4*(20875-12500)*12</f>
        <v>100500</v>
      </c>
      <c r="N4" s="17">
        <f t="shared" ref="N4:N14" si="6">(J4+L4)</f>
        <v>1</v>
      </c>
      <c r="O4" s="18">
        <f t="shared" ref="O4:O15" si="7">SUM(K4+M4)</f>
        <v>100500</v>
      </c>
      <c r="P4" s="19">
        <v>1</v>
      </c>
      <c r="Q4" s="20">
        <f t="shared" ref="Q4:Q14" si="8">P4*27500*12</f>
        <v>330000</v>
      </c>
      <c r="R4" s="19">
        <v>1</v>
      </c>
      <c r="S4" s="20">
        <f t="shared" ref="S4:S14" si="9">R4*(45925-27500)*12</f>
        <v>221100</v>
      </c>
      <c r="T4" s="19">
        <f t="shared" ref="T4:U14" si="10">SUM(P4+R4)</f>
        <v>2</v>
      </c>
      <c r="U4" s="20">
        <f t="shared" si="10"/>
        <v>551100</v>
      </c>
      <c r="V4" s="17">
        <v>0</v>
      </c>
      <c r="W4" s="18">
        <f t="shared" ref="W4:W14" si="11">V4*27500*12</f>
        <v>0</v>
      </c>
      <c r="X4" s="17">
        <v>0</v>
      </c>
      <c r="Y4" s="18">
        <f t="shared" ref="Y4:Y14" si="12">X4*(45925-27500)*12</f>
        <v>0</v>
      </c>
      <c r="Z4" s="17">
        <f t="shared" ref="Z4:Z14" si="13">SUM(V4+X4)</f>
        <v>0</v>
      </c>
      <c r="AA4" s="18">
        <f t="shared" ref="AA4:AA14" si="14">SUM(W4+Y4)</f>
        <v>0</v>
      </c>
      <c r="AB4" s="19">
        <v>0</v>
      </c>
      <c r="AC4" s="20">
        <f t="shared" ref="AC4:AC14" si="15">AB4*7000*12</f>
        <v>0</v>
      </c>
      <c r="AD4" s="19">
        <v>0</v>
      </c>
      <c r="AE4" s="20">
        <f t="shared" ref="AE4:AE14" si="16">AD4*7000*12</f>
        <v>0</v>
      </c>
      <c r="AF4" s="19">
        <f t="shared" ref="AF4:AG14" si="17">SUM(AB4+AD4)</f>
        <v>0</v>
      </c>
      <c r="AG4" s="20">
        <f t="shared" si="17"/>
        <v>0</v>
      </c>
      <c r="AH4" s="17">
        <v>0</v>
      </c>
      <c r="AI4" s="18">
        <f t="shared" ref="AI4:AI14" si="18">AH4*27500*12</f>
        <v>0</v>
      </c>
      <c r="AJ4" s="17">
        <v>0</v>
      </c>
      <c r="AK4" s="18">
        <f t="shared" ref="AK4:AK14" si="19">AJ4*(45925-27500)*12</f>
        <v>0</v>
      </c>
      <c r="AL4" s="17">
        <f t="shared" ref="AL4:AM15" si="20">(AH4+AJ4)</f>
        <v>0</v>
      </c>
      <c r="AM4" s="18">
        <f t="shared" si="20"/>
        <v>0</v>
      </c>
      <c r="AN4" s="84">
        <f t="shared" ref="AN4:AN14" si="21">SUM(I4+O4+U4+AA4+AG4+AM4)</f>
        <v>651600</v>
      </c>
      <c r="AO4" s="77"/>
      <c r="AP4" s="77">
        <v>651600</v>
      </c>
      <c r="AQ4" s="77">
        <f t="shared" ref="AQ4:AQ15" si="22">AN4-AP4</f>
        <v>0</v>
      </c>
    </row>
    <row r="5" spans="1:43">
      <c r="A5" s="7"/>
      <c r="B5" s="7" t="s">
        <v>69</v>
      </c>
      <c r="C5" s="76" t="s">
        <v>62</v>
      </c>
      <c r="D5" s="19">
        <v>0</v>
      </c>
      <c r="E5" s="20">
        <f t="shared" si="0"/>
        <v>0</v>
      </c>
      <c r="F5" s="19">
        <v>0</v>
      </c>
      <c r="G5" s="20">
        <f t="shared" si="1"/>
        <v>0</v>
      </c>
      <c r="H5" s="19">
        <f t="shared" si="2"/>
        <v>0</v>
      </c>
      <c r="I5" s="20">
        <f t="shared" si="3"/>
        <v>0</v>
      </c>
      <c r="J5" s="17">
        <v>0</v>
      </c>
      <c r="K5" s="18">
        <f t="shared" si="4"/>
        <v>0</v>
      </c>
      <c r="L5" s="17">
        <v>1</v>
      </c>
      <c r="M5" s="18">
        <f t="shared" si="5"/>
        <v>100500</v>
      </c>
      <c r="N5" s="17">
        <f t="shared" si="6"/>
        <v>1</v>
      </c>
      <c r="O5" s="18">
        <f t="shared" si="7"/>
        <v>100500</v>
      </c>
      <c r="P5" s="19">
        <v>0</v>
      </c>
      <c r="Q5" s="20">
        <f t="shared" si="8"/>
        <v>0</v>
      </c>
      <c r="R5" s="19">
        <v>0</v>
      </c>
      <c r="S5" s="20">
        <f t="shared" si="9"/>
        <v>0</v>
      </c>
      <c r="T5" s="19">
        <f t="shared" si="10"/>
        <v>0</v>
      </c>
      <c r="U5" s="20">
        <f t="shared" si="10"/>
        <v>0</v>
      </c>
      <c r="V5" s="17">
        <v>0</v>
      </c>
      <c r="W5" s="18">
        <f t="shared" si="11"/>
        <v>0</v>
      </c>
      <c r="X5" s="17">
        <v>0</v>
      </c>
      <c r="Y5" s="18">
        <f t="shared" si="12"/>
        <v>0</v>
      </c>
      <c r="Z5" s="17">
        <f t="shared" si="13"/>
        <v>0</v>
      </c>
      <c r="AA5" s="18">
        <f t="shared" si="14"/>
        <v>0</v>
      </c>
      <c r="AB5" s="19">
        <v>0</v>
      </c>
      <c r="AC5" s="20">
        <f t="shared" si="15"/>
        <v>0</v>
      </c>
      <c r="AD5" s="19">
        <v>0</v>
      </c>
      <c r="AE5" s="20">
        <f t="shared" si="16"/>
        <v>0</v>
      </c>
      <c r="AF5" s="19">
        <f t="shared" si="17"/>
        <v>0</v>
      </c>
      <c r="AG5" s="20">
        <f t="shared" si="17"/>
        <v>0</v>
      </c>
      <c r="AH5" s="17">
        <v>0</v>
      </c>
      <c r="AI5" s="18">
        <f t="shared" si="18"/>
        <v>0</v>
      </c>
      <c r="AJ5" s="17">
        <v>0</v>
      </c>
      <c r="AK5" s="18">
        <f t="shared" si="19"/>
        <v>0</v>
      </c>
      <c r="AL5" s="17">
        <f t="shared" si="20"/>
        <v>0</v>
      </c>
      <c r="AM5" s="18">
        <f t="shared" si="20"/>
        <v>0</v>
      </c>
      <c r="AN5" s="84">
        <f t="shared" si="21"/>
        <v>100500</v>
      </c>
      <c r="AO5" s="77"/>
      <c r="AP5" s="77">
        <v>100500</v>
      </c>
      <c r="AQ5" s="77">
        <f t="shared" si="22"/>
        <v>0</v>
      </c>
    </row>
    <row r="6" spans="1:43">
      <c r="A6" s="2"/>
      <c r="B6" s="86" t="s">
        <v>141</v>
      </c>
      <c r="C6" s="76" t="s">
        <v>62</v>
      </c>
      <c r="D6" s="19">
        <v>0</v>
      </c>
      <c r="E6" s="20">
        <f t="shared" si="0"/>
        <v>0</v>
      </c>
      <c r="F6" s="19">
        <v>0</v>
      </c>
      <c r="G6" s="20">
        <f t="shared" si="1"/>
        <v>0</v>
      </c>
      <c r="H6" s="19">
        <f t="shared" si="2"/>
        <v>0</v>
      </c>
      <c r="I6" s="20">
        <f t="shared" si="3"/>
        <v>0</v>
      </c>
      <c r="J6" s="17">
        <v>0</v>
      </c>
      <c r="K6" s="18">
        <f t="shared" si="4"/>
        <v>0</v>
      </c>
      <c r="L6" s="17">
        <v>1</v>
      </c>
      <c r="M6" s="18">
        <f t="shared" si="5"/>
        <v>100500</v>
      </c>
      <c r="N6" s="17">
        <f t="shared" si="6"/>
        <v>1</v>
      </c>
      <c r="O6" s="18">
        <f t="shared" si="7"/>
        <v>100500</v>
      </c>
      <c r="P6" s="19">
        <v>0</v>
      </c>
      <c r="Q6" s="20">
        <f t="shared" si="8"/>
        <v>0</v>
      </c>
      <c r="R6" s="19">
        <v>0</v>
      </c>
      <c r="S6" s="20">
        <f t="shared" si="9"/>
        <v>0</v>
      </c>
      <c r="T6" s="19">
        <f t="shared" si="10"/>
        <v>0</v>
      </c>
      <c r="U6" s="20">
        <f t="shared" si="10"/>
        <v>0</v>
      </c>
      <c r="V6" s="17">
        <v>0</v>
      </c>
      <c r="W6" s="18">
        <f t="shared" si="11"/>
        <v>0</v>
      </c>
      <c r="X6" s="17">
        <v>0</v>
      </c>
      <c r="Y6" s="18">
        <f t="shared" si="12"/>
        <v>0</v>
      </c>
      <c r="Z6" s="17">
        <f t="shared" si="13"/>
        <v>0</v>
      </c>
      <c r="AA6" s="18">
        <f t="shared" si="14"/>
        <v>0</v>
      </c>
      <c r="AB6" s="19">
        <v>0</v>
      </c>
      <c r="AC6" s="20">
        <f t="shared" si="15"/>
        <v>0</v>
      </c>
      <c r="AD6" s="19">
        <v>0</v>
      </c>
      <c r="AE6" s="20">
        <f t="shared" si="16"/>
        <v>0</v>
      </c>
      <c r="AF6" s="19">
        <f t="shared" si="17"/>
        <v>0</v>
      </c>
      <c r="AG6" s="20">
        <f t="shared" si="17"/>
        <v>0</v>
      </c>
      <c r="AH6" s="17">
        <v>0</v>
      </c>
      <c r="AI6" s="18">
        <f t="shared" si="18"/>
        <v>0</v>
      </c>
      <c r="AJ6" s="17">
        <v>0</v>
      </c>
      <c r="AK6" s="18">
        <f t="shared" si="19"/>
        <v>0</v>
      </c>
      <c r="AL6" s="17">
        <f t="shared" si="20"/>
        <v>0</v>
      </c>
      <c r="AM6" s="18">
        <f t="shared" si="20"/>
        <v>0</v>
      </c>
      <c r="AN6" s="84">
        <f t="shared" si="21"/>
        <v>100500</v>
      </c>
      <c r="AO6" s="77"/>
      <c r="AP6" s="77">
        <v>100500</v>
      </c>
      <c r="AQ6" s="77">
        <f t="shared" si="22"/>
        <v>0</v>
      </c>
    </row>
    <row r="7" spans="1:43">
      <c r="A7" s="7"/>
      <c r="B7" s="7" t="s">
        <v>142</v>
      </c>
      <c r="C7" s="76" t="s">
        <v>62</v>
      </c>
      <c r="D7" s="19">
        <v>0</v>
      </c>
      <c r="E7" s="20">
        <f t="shared" si="0"/>
        <v>0</v>
      </c>
      <c r="F7" s="19">
        <v>0</v>
      </c>
      <c r="G7" s="20">
        <f t="shared" si="1"/>
        <v>0</v>
      </c>
      <c r="H7" s="19">
        <f t="shared" si="2"/>
        <v>0</v>
      </c>
      <c r="I7" s="20">
        <f t="shared" si="3"/>
        <v>0</v>
      </c>
      <c r="J7" s="17">
        <v>0</v>
      </c>
      <c r="K7" s="18">
        <f t="shared" si="4"/>
        <v>0</v>
      </c>
      <c r="L7" s="17">
        <v>1</v>
      </c>
      <c r="M7" s="18">
        <f t="shared" si="5"/>
        <v>100500</v>
      </c>
      <c r="N7" s="17">
        <f t="shared" si="6"/>
        <v>1</v>
      </c>
      <c r="O7" s="18">
        <f t="shared" si="7"/>
        <v>100500</v>
      </c>
      <c r="P7" s="19">
        <v>0</v>
      </c>
      <c r="Q7" s="20">
        <f t="shared" si="8"/>
        <v>0</v>
      </c>
      <c r="R7" s="19">
        <v>0</v>
      </c>
      <c r="S7" s="20">
        <f t="shared" si="9"/>
        <v>0</v>
      </c>
      <c r="T7" s="19">
        <f t="shared" si="10"/>
        <v>0</v>
      </c>
      <c r="U7" s="20">
        <f t="shared" si="10"/>
        <v>0</v>
      </c>
      <c r="V7" s="17">
        <v>0</v>
      </c>
      <c r="W7" s="18">
        <f t="shared" si="11"/>
        <v>0</v>
      </c>
      <c r="X7" s="17">
        <v>0</v>
      </c>
      <c r="Y7" s="18">
        <f t="shared" si="12"/>
        <v>0</v>
      </c>
      <c r="Z7" s="17">
        <f t="shared" si="13"/>
        <v>0</v>
      </c>
      <c r="AA7" s="18">
        <f t="shared" si="14"/>
        <v>0</v>
      </c>
      <c r="AB7" s="19">
        <v>0</v>
      </c>
      <c r="AC7" s="20">
        <f t="shared" si="15"/>
        <v>0</v>
      </c>
      <c r="AD7" s="19">
        <v>0</v>
      </c>
      <c r="AE7" s="20">
        <f t="shared" si="16"/>
        <v>0</v>
      </c>
      <c r="AF7" s="19">
        <f t="shared" si="17"/>
        <v>0</v>
      </c>
      <c r="AG7" s="20">
        <f t="shared" si="17"/>
        <v>0</v>
      </c>
      <c r="AH7" s="17">
        <v>0</v>
      </c>
      <c r="AI7" s="18">
        <f t="shared" si="18"/>
        <v>0</v>
      </c>
      <c r="AJ7" s="17">
        <v>0</v>
      </c>
      <c r="AK7" s="18">
        <f t="shared" si="19"/>
        <v>0</v>
      </c>
      <c r="AL7" s="17">
        <f t="shared" si="20"/>
        <v>0</v>
      </c>
      <c r="AM7" s="18">
        <f t="shared" si="20"/>
        <v>0</v>
      </c>
      <c r="AN7" s="84">
        <f t="shared" si="21"/>
        <v>100500</v>
      </c>
      <c r="AO7" s="77"/>
      <c r="AP7" s="77">
        <v>100500</v>
      </c>
      <c r="AQ7" s="77">
        <f t="shared" si="22"/>
        <v>0</v>
      </c>
    </row>
    <row r="8" spans="1:43">
      <c r="A8" s="2"/>
      <c r="B8" s="86" t="s">
        <v>143</v>
      </c>
      <c r="C8" s="76" t="s">
        <v>62</v>
      </c>
      <c r="D8" s="19">
        <v>0</v>
      </c>
      <c r="E8" s="20">
        <f t="shared" si="0"/>
        <v>0</v>
      </c>
      <c r="F8" s="19">
        <v>0</v>
      </c>
      <c r="G8" s="20">
        <f t="shared" si="1"/>
        <v>0</v>
      </c>
      <c r="H8" s="19">
        <f t="shared" si="2"/>
        <v>0</v>
      </c>
      <c r="I8" s="20">
        <f t="shared" si="3"/>
        <v>0</v>
      </c>
      <c r="J8" s="17">
        <v>0</v>
      </c>
      <c r="K8" s="18">
        <f t="shared" si="4"/>
        <v>0</v>
      </c>
      <c r="L8" s="17">
        <v>1</v>
      </c>
      <c r="M8" s="18">
        <f t="shared" si="5"/>
        <v>100500</v>
      </c>
      <c r="N8" s="17">
        <f t="shared" si="6"/>
        <v>1</v>
      </c>
      <c r="O8" s="18">
        <f t="shared" si="7"/>
        <v>100500</v>
      </c>
      <c r="P8" s="19">
        <v>0</v>
      </c>
      <c r="Q8" s="20">
        <f t="shared" si="8"/>
        <v>0</v>
      </c>
      <c r="R8" s="19">
        <v>0</v>
      </c>
      <c r="S8" s="20">
        <f t="shared" si="9"/>
        <v>0</v>
      </c>
      <c r="T8" s="19">
        <f t="shared" si="10"/>
        <v>0</v>
      </c>
      <c r="U8" s="20">
        <f t="shared" si="10"/>
        <v>0</v>
      </c>
      <c r="V8" s="17">
        <v>0</v>
      </c>
      <c r="W8" s="18">
        <f t="shared" si="11"/>
        <v>0</v>
      </c>
      <c r="X8" s="17">
        <v>0</v>
      </c>
      <c r="Y8" s="18">
        <f t="shared" si="12"/>
        <v>0</v>
      </c>
      <c r="Z8" s="17">
        <f t="shared" si="13"/>
        <v>0</v>
      </c>
      <c r="AA8" s="18">
        <f t="shared" si="14"/>
        <v>0</v>
      </c>
      <c r="AB8" s="19">
        <v>0</v>
      </c>
      <c r="AC8" s="20">
        <f t="shared" si="15"/>
        <v>0</v>
      </c>
      <c r="AD8" s="19">
        <v>0</v>
      </c>
      <c r="AE8" s="20">
        <f t="shared" si="16"/>
        <v>0</v>
      </c>
      <c r="AF8" s="19">
        <f t="shared" si="17"/>
        <v>0</v>
      </c>
      <c r="AG8" s="20">
        <f t="shared" si="17"/>
        <v>0</v>
      </c>
      <c r="AH8" s="17">
        <v>0</v>
      </c>
      <c r="AI8" s="18">
        <f t="shared" si="18"/>
        <v>0</v>
      </c>
      <c r="AJ8" s="17">
        <v>0</v>
      </c>
      <c r="AK8" s="18">
        <f t="shared" si="19"/>
        <v>0</v>
      </c>
      <c r="AL8" s="17">
        <f t="shared" si="20"/>
        <v>0</v>
      </c>
      <c r="AM8" s="18">
        <f t="shared" si="20"/>
        <v>0</v>
      </c>
      <c r="AN8" s="84">
        <f t="shared" si="21"/>
        <v>100500</v>
      </c>
      <c r="AO8" s="77"/>
      <c r="AP8" s="77">
        <v>100500</v>
      </c>
      <c r="AQ8" s="77">
        <f t="shared" si="22"/>
        <v>0</v>
      </c>
    </row>
    <row r="9" spans="1:43">
      <c r="A9" s="8"/>
      <c r="B9" s="87" t="s">
        <v>67</v>
      </c>
      <c r="C9" s="76" t="s">
        <v>62</v>
      </c>
      <c r="D9" s="19">
        <v>0</v>
      </c>
      <c r="E9" s="20">
        <f t="shared" si="0"/>
        <v>0</v>
      </c>
      <c r="F9" s="19">
        <v>0</v>
      </c>
      <c r="G9" s="20">
        <f t="shared" si="1"/>
        <v>0</v>
      </c>
      <c r="H9" s="19">
        <f t="shared" si="2"/>
        <v>0</v>
      </c>
      <c r="I9" s="20">
        <f t="shared" si="3"/>
        <v>0</v>
      </c>
      <c r="J9" s="17">
        <v>0</v>
      </c>
      <c r="K9" s="18">
        <f t="shared" si="4"/>
        <v>0</v>
      </c>
      <c r="L9" s="17">
        <v>1</v>
      </c>
      <c r="M9" s="18">
        <f t="shared" si="5"/>
        <v>100500</v>
      </c>
      <c r="N9" s="17">
        <f t="shared" si="6"/>
        <v>1</v>
      </c>
      <c r="O9" s="18">
        <f t="shared" si="7"/>
        <v>100500</v>
      </c>
      <c r="P9" s="19">
        <v>0</v>
      </c>
      <c r="Q9" s="20">
        <f t="shared" si="8"/>
        <v>0</v>
      </c>
      <c r="R9" s="19">
        <v>1</v>
      </c>
      <c r="S9" s="20">
        <f t="shared" si="9"/>
        <v>221100</v>
      </c>
      <c r="T9" s="19">
        <f t="shared" si="10"/>
        <v>1</v>
      </c>
      <c r="U9" s="20">
        <f t="shared" si="10"/>
        <v>221100</v>
      </c>
      <c r="V9" s="17">
        <v>0</v>
      </c>
      <c r="W9" s="18">
        <f t="shared" si="11"/>
        <v>0</v>
      </c>
      <c r="X9" s="17">
        <v>0</v>
      </c>
      <c r="Y9" s="18">
        <f t="shared" si="12"/>
        <v>0</v>
      </c>
      <c r="Z9" s="17">
        <f t="shared" si="13"/>
        <v>0</v>
      </c>
      <c r="AA9" s="18">
        <f t="shared" si="14"/>
        <v>0</v>
      </c>
      <c r="AB9" s="19">
        <v>0</v>
      </c>
      <c r="AC9" s="20">
        <f t="shared" si="15"/>
        <v>0</v>
      </c>
      <c r="AD9" s="19">
        <v>0</v>
      </c>
      <c r="AE9" s="20">
        <f t="shared" si="16"/>
        <v>0</v>
      </c>
      <c r="AF9" s="19">
        <f t="shared" si="17"/>
        <v>0</v>
      </c>
      <c r="AG9" s="20">
        <f t="shared" si="17"/>
        <v>0</v>
      </c>
      <c r="AH9" s="17">
        <v>0</v>
      </c>
      <c r="AI9" s="18">
        <f t="shared" si="18"/>
        <v>0</v>
      </c>
      <c r="AJ9" s="17">
        <v>0</v>
      </c>
      <c r="AK9" s="18">
        <f t="shared" si="19"/>
        <v>0</v>
      </c>
      <c r="AL9" s="17">
        <f t="shared" si="20"/>
        <v>0</v>
      </c>
      <c r="AM9" s="18">
        <f t="shared" si="20"/>
        <v>0</v>
      </c>
      <c r="AN9" s="84">
        <f t="shared" si="21"/>
        <v>321600</v>
      </c>
      <c r="AO9" s="77"/>
      <c r="AP9" s="77">
        <v>321600</v>
      </c>
      <c r="AQ9" s="77">
        <f t="shared" si="22"/>
        <v>0</v>
      </c>
    </row>
    <row r="10" spans="1:43">
      <c r="A10" s="8"/>
      <c r="B10" s="87" t="s">
        <v>53</v>
      </c>
      <c r="C10" s="76" t="s">
        <v>62</v>
      </c>
      <c r="D10" s="19">
        <v>1</v>
      </c>
      <c r="E10" s="20">
        <f>D10*(64000-19000)*12</f>
        <v>540000</v>
      </c>
      <c r="F10" s="19">
        <v>1</v>
      </c>
      <c r="G10" s="20">
        <f>F10*(106880-64000)*12</f>
        <v>514560</v>
      </c>
      <c r="H10" s="19">
        <f t="shared" si="2"/>
        <v>2</v>
      </c>
      <c r="I10" s="20">
        <f t="shared" si="3"/>
        <v>1054560</v>
      </c>
      <c r="J10" s="17">
        <v>0</v>
      </c>
      <c r="K10" s="18">
        <f t="shared" si="4"/>
        <v>0</v>
      </c>
      <c r="L10" s="17">
        <v>4</v>
      </c>
      <c r="M10" s="18">
        <f t="shared" si="5"/>
        <v>402000</v>
      </c>
      <c r="N10" s="17">
        <f t="shared" si="6"/>
        <v>4</v>
      </c>
      <c r="O10" s="18">
        <f t="shared" si="7"/>
        <v>402000</v>
      </c>
      <c r="P10" s="19">
        <v>0</v>
      </c>
      <c r="Q10" s="20">
        <f t="shared" si="8"/>
        <v>0</v>
      </c>
      <c r="R10" s="19">
        <v>1</v>
      </c>
      <c r="S10" s="20">
        <f t="shared" si="9"/>
        <v>221100</v>
      </c>
      <c r="T10" s="19">
        <f t="shared" si="10"/>
        <v>1</v>
      </c>
      <c r="U10" s="20">
        <f t="shared" si="10"/>
        <v>221100</v>
      </c>
      <c r="V10" s="17">
        <v>0</v>
      </c>
      <c r="W10" s="18">
        <f t="shared" si="11"/>
        <v>0</v>
      </c>
      <c r="X10" s="17">
        <v>0</v>
      </c>
      <c r="Y10" s="18">
        <f t="shared" si="12"/>
        <v>0</v>
      </c>
      <c r="Z10" s="17">
        <f t="shared" si="13"/>
        <v>0</v>
      </c>
      <c r="AA10" s="18">
        <f t="shared" si="14"/>
        <v>0</v>
      </c>
      <c r="AB10" s="19">
        <v>0</v>
      </c>
      <c r="AC10" s="20">
        <f t="shared" si="15"/>
        <v>0</v>
      </c>
      <c r="AD10" s="19">
        <v>0</v>
      </c>
      <c r="AE10" s="20">
        <f t="shared" si="16"/>
        <v>0</v>
      </c>
      <c r="AF10" s="19">
        <f t="shared" si="17"/>
        <v>0</v>
      </c>
      <c r="AG10" s="20">
        <f t="shared" si="17"/>
        <v>0</v>
      </c>
      <c r="AH10" s="17">
        <v>1</v>
      </c>
      <c r="AI10" s="18">
        <f t="shared" si="18"/>
        <v>330000</v>
      </c>
      <c r="AJ10" s="17">
        <v>1</v>
      </c>
      <c r="AK10" s="18">
        <f t="shared" si="19"/>
        <v>221100</v>
      </c>
      <c r="AL10" s="17">
        <f t="shared" si="20"/>
        <v>2</v>
      </c>
      <c r="AM10" s="18">
        <f t="shared" si="20"/>
        <v>551100</v>
      </c>
      <c r="AN10" s="84">
        <f t="shared" si="21"/>
        <v>2228760</v>
      </c>
      <c r="AO10" s="77"/>
      <c r="AP10" s="77">
        <v>1174200</v>
      </c>
      <c r="AQ10" s="77">
        <f t="shared" si="22"/>
        <v>1054560</v>
      </c>
    </row>
    <row r="11" spans="1:43">
      <c r="A11" s="8"/>
      <c r="B11" s="87" t="s">
        <v>84</v>
      </c>
      <c r="C11" s="76" t="s">
        <v>62</v>
      </c>
      <c r="D11" s="19">
        <v>0</v>
      </c>
      <c r="E11" s="20">
        <f t="shared" si="0"/>
        <v>0</v>
      </c>
      <c r="F11" s="19">
        <v>0</v>
      </c>
      <c r="G11" s="20">
        <f t="shared" si="1"/>
        <v>0</v>
      </c>
      <c r="H11" s="19">
        <f t="shared" si="2"/>
        <v>0</v>
      </c>
      <c r="I11" s="20">
        <f t="shared" si="3"/>
        <v>0</v>
      </c>
      <c r="J11" s="17">
        <v>0</v>
      </c>
      <c r="K11" s="18">
        <f t="shared" si="4"/>
        <v>0</v>
      </c>
      <c r="L11" s="17">
        <v>1</v>
      </c>
      <c r="M11" s="18">
        <f t="shared" si="5"/>
        <v>100500</v>
      </c>
      <c r="N11" s="17">
        <f t="shared" si="6"/>
        <v>1</v>
      </c>
      <c r="O11" s="18">
        <f t="shared" si="7"/>
        <v>100500</v>
      </c>
      <c r="P11" s="19">
        <v>0</v>
      </c>
      <c r="Q11" s="20">
        <f t="shared" si="8"/>
        <v>0</v>
      </c>
      <c r="R11" s="19">
        <v>1</v>
      </c>
      <c r="S11" s="20">
        <f t="shared" si="9"/>
        <v>221100</v>
      </c>
      <c r="T11" s="19">
        <f t="shared" si="10"/>
        <v>1</v>
      </c>
      <c r="U11" s="20">
        <f t="shared" si="10"/>
        <v>221100</v>
      </c>
      <c r="V11" s="17">
        <v>0</v>
      </c>
      <c r="W11" s="18">
        <f t="shared" si="11"/>
        <v>0</v>
      </c>
      <c r="X11" s="17">
        <v>0</v>
      </c>
      <c r="Y11" s="18">
        <f t="shared" si="12"/>
        <v>0</v>
      </c>
      <c r="Z11" s="17">
        <f t="shared" si="13"/>
        <v>0</v>
      </c>
      <c r="AA11" s="18">
        <f t="shared" si="14"/>
        <v>0</v>
      </c>
      <c r="AB11" s="19">
        <v>0</v>
      </c>
      <c r="AC11" s="20">
        <f t="shared" si="15"/>
        <v>0</v>
      </c>
      <c r="AD11" s="19">
        <v>0</v>
      </c>
      <c r="AE11" s="20">
        <f t="shared" si="16"/>
        <v>0</v>
      </c>
      <c r="AF11" s="19">
        <f t="shared" si="17"/>
        <v>0</v>
      </c>
      <c r="AG11" s="20">
        <f t="shared" si="17"/>
        <v>0</v>
      </c>
      <c r="AH11" s="17">
        <v>0</v>
      </c>
      <c r="AI11" s="18">
        <f t="shared" si="18"/>
        <v>0</v>
      </c>
      <c r="AJ11" s="17">
        <v>0</v>
      </c>
      <c r="AK11" s="18">
        <f t="shared" si="19"/>
        <v>0</v>
      </c>
      <c r="AL11" s="17">
        <f t="shared" si="20"/>
        <v>0</v>
      </c>
      <c r="AM11" s="18">
        <f t="shared" si="20"/>
        <v>0</v>
      </c>
      <c r="AN11" s="84">
        <f t="shared" si="21"/>
        <v>321600</v>
      </c>
      <c r="AO11" s="77"/>
      <c r="AP11" s="77">
        <v>321600</v>
      </c>
      <c r="AQ11" s="77">
        <f t="shared" si="22"/>
        <v>0</v>
      </c>
    </row>
    <row r="12" spans="1:43">
      <c r="A12" s="8"/>
      <c r="B12" s="87" t="s">
        <v>74</v>
      </c>
      <c r="C12" s="76" t="s">
        <v>62</v>
      </c>
      <c r="D12" s="19">
        <v>0</v>
      </c>
      <c r="E12" s="20">
        <f t="shared" si="0"/>
        <v>0</v>
      </c>
      <c r="F12" s="19">
        <v>0</v>
      </c>
      <c r="G12" s="20">
        <f t="shared" si="1"/>
        <v>0</v>
      </c>
      <c r="H12" s="19">
        <f t="shared" si="2"/>
        <v>0</v>
      </c>
      <c r="I12" s="20">
        <f t="shared" si="3"/>
        <v>0</v>
      </c>
      <c r="J12" s="17">
        <v>0</v>
      </c>
      <c r="K12" s="18">
        <f t="shared" si="4"/>
        <v>0</v>
      </c>
      <c r="L12" s="17">
        <v>1</v>
      </c>
      <c r="M12" s="18">
        <f t="shared" si="5"/>
        <v>100500</v>
      </c>
      <c r="N12" s="17">
        <f t="shared" si="6"/>
        <v>1</v>
      </c>
      <c r="O12" s="18">
        <f t="shared" si="7"/>
        <v>100500</v>
      </c>
      <c r="P12" s="19">
        <v>0</v>
      </c>
      <c r="Q12" s="20">
        <f t="shared" si="8"/>
        <v>0</v>
      </c>
      <c r="R12" s="19">
        <v>0</v>
      </c>
      <c r="S12" s="20">
        <f t="shared" si="9"/>
        <v>0</v>
      </c>
      <c r="T12" s="19">
        <f t="shared" si="10"/>
        <v>0</v>
      </c>
      <c r="U12" s="20">
        <f t="shared" si="10"/>
        <v>0</v>
      </c>
      <c r="V12" s="17">
        <v>0</v>
      </c>
      <c r="W12" s="18">
        <f t="shared" si="11"/>
        <v>0</v>
      </c>
      <c r="X12" s="17">
        <v>0</v>
      </c>
      <c r="Y12" s="18">
        <f t="shared" si="12"/>
        <v>0</v>
      </c>
      <c r="Z12" s="17">
        <f t="shared" si="13"/>
        <v>0</v>
      </c>
      <c r="AA12" s="18">
        <f t="shared" si="14"/>
        <v>0</v>
      </c>
      <c r="AB12" s="19">
        <v>0</v>
      </c>
      <c r="AC12" s="20">
        <f t="shared" si="15"/>
        <v>0</v>
      </c>
      <c r="AD12" s="19">
        <v>0</v>
      </c>
      <c r="AE12" s="20">
        <f t="shared" si="16"/>
        <v>0</v>
      </c>
      <c r="AF12" s="19">
        <f t="shared" si="17"/>
        <v>0</v>
      </c>
      <c r="AG12" s="20">
        <f t="shared" si="17"/>
        <v>0</v>
      </c>
      <c r="AH12" s="17">
        <v>0</v>
      </c>
      <c r="AI12" s="18">
        <f t="shared" si="18"/>
        <v>0</v>
      </c>
      <c r="AJ12" s="17">
        <v>0</v>
      </c>
      <c r="AK12" s="18">
        <f t="shared" si="19"/>
        <v>0</v>
      </c>
      <c r="AL12" s="17">
        <f t="shared" si="20"/>
        <v>0</v>
      </c>
      <c r="AM12" s="18">
        <f t="shared" si="20"/>
        <v>0</v>
      </c>
      <c r="AN12" s="84">
        <f t="shared" si="21"/>
        <v>100500</v>
      </c>
      <c r="AO12" s="77"/>
      <c r="AP12" s="77">
        <v>100500</v>
      </c>
      <c r="AQ12" s="77">
        <f t="shared" si="22"/>
        <v>0</v>
      </c>
    </row>
    <row r="13" spans="1:43">
      <c r="A13" s="8"/>
      <c r="B13" s="87" t="s">
        <v>82</v>
      </c>
      <c r="C13" s="76" t="s">
        <v>62</v>
      </c>
      <c r="D13" s="19">
        <v>0</v>
      </c>
      <c r="E13" s="20">
        <f t="shared" si="0"/>
        <v>0</v>
      </c>
      <c r="F13" s="19">
        <v>0</v>
      </c>
      <c r="G13" s="20">
        <f t="shared" si="1"/>
        <v>0</v>
      </c>
      <c r="H13" s="19">
        <f t="shared" si="2"/>
        <v>0</v>
      </c>
      <c r="I13" s="20">
        <f t="shared" si="3"/>
        <v>0</v>
      </c>
      <c r="J13" s="17">
        <v>0</v>
      </c>
      <c r="K13" s="18">
        <f t="shared" si="4"/>
        <v>0</v>
      </c>
      <c r="L13" s="17">
        <v>1</v>
      </c>
      <c r="M13" s="18">
        <f t="shared" si="5"/>
        <v>100500</v>
      </c>
      <c r="N13" s="17">
        <f t="shared" si="6"/>
        <v>1</v>
      </c>
      <c r="O13" s="18">
        <f t="shared" si="7"/>
        <v>100500</v>
      </c>
      <c r="P13" s="19">
        <v>0</v>
      </c>
      <c r="Q13" s="20">
        <f t="shared" si="8"/>
        <v>0</v>
      </c>
      <c r="R13" s="19">
        <v>0</v>
      </c>
      <c r="S13" s="20">
        <f t="shared" si="9"/>
        <v>0</v>
      </c>
      <c r="T13" s="19">
        <f t="shared" si="10"/>
        <v>0</v>
      </c>
      <c r="U13" s="20">
        <f t="shared" si="10"/>
        <v>0</v>
      </c>
      <c r="V13" s="17">
        <v>0</v>
      </c>
      <c r="W13" s="18">
        <f t="shared" si="11"/>
        <v>0</v>
      </c>
      <c r="X13" s="17">
        <v>0</v>
      </c>
      <c r="Y13" s="18">
        <f t="shared" si="12"/>
        <v>0</v>
      </c>
      <c r="Z13" s="17">
        <f t="shared" si="13"/>
        <v>0</v>
      </c>
      <c r="AA13" s="18">
        <f t="shared" si="14"/>
        <v>0</v>
      </c>
      <c r="AB13" s="19">
        <v>0</v>
      </c>
      <c r="AC13" s="20">
        <f t="shared" si="15"/>
        <v>0</v>
      </c>
      <c r="AD13" s="19">
        <v>0</v>
      </c>
      <c r="AE13" s="20">
        <f t="shared" si="16"/>
        <v>0</v>
      </c>
      <c r="AF13" s="19">
        <f t="shared" si="17"/>
        <v>0</v>
      </c>
      <c r="AG13" s="20">
        <f t="shared" si="17"/>
        <v>0</v>
      </c>
      <c r="AH13" s="17">
        <v>0</v>
      </c>
      <c r="AI13" s="18">
        <f t="shared" si="18"/>
        <v>0</v>
      </c>
      <c r="AJ13" s="17">
        <v>0</v>
      </c>
      <c r="AK13" s="18">
        <f t="shared" si="19"/>
        <v>0</v>
      </c>
      <c r="AL13" s="17">
        <f t="shared" si="20"/>
        <v>0</v>
      </c>
      <c r="AM13" s="18">
        <f t="shared" si="20"/>
        <v>0</v>
      </c>
      <c r="AN13" s="84">
        <f t="shared" si="21"/>
        <v>100500</v>
      </c>
      <c r="AO13" s="77"/>
      <c r="AP13" s="77">
        <v>100500</v>
      </c>
      <c r="AQ13" s="77">
        <f t="shared" si="22"/>
        <v>0</v>
      </c>
    </row>
    <row r="14" spans="1:43">
      <c r="A14" s="8"/>
      <c r="B14" s="87" t="s">
        <v>64</v>
      </c>
      <c r="C14" s="76" t="s">
        <v>62</v>
      </c>
      <c r="D14" s="19">
        <v>0</v>
      </c>
      <c r="E14" s="20">
        <f t="shared" si="0"/>
        <v>0</v>
      </c>
      <c r="F14" s="19">
        <v>0</v>
      </c>
      <c r="G14" s="20">
        <f t="shared" si="1"/>
        <v>0</v>
      </c>
      <c r="H14" s="19">
        <f t="shared" si="2"/>
        <v>0</v>
      </c>
      <c r="I14" s="20">
        <f t="shared" si="3"/>
        <v>0</v>
      </c>
      <c r="J14" s="17">
        <v>0</v>
      </c>
      <c r="K14" s="18">
        <f t="shared" si="4"/>
        <v>0</v>
      </c>
      <c r="L14" s="17">
        <v>1</v>
      </c>
      <c r="M14" s="18">
        <f t="shared" si="5"/>
        <v>100500</v>
      </c>
      <c r="N14" s="17">
        <f t="shared" si="6"/>
        <v>1</v>
      </c>
      <c r="O14" s="18">
        <f t="shared" si="7"/>
        <v>100500</v>
      </c>
      <c r="P14" s="19">
        <v>0</v>
      </c>
      <c r="Q14" s="20">
        <f t="shared" si="8"/>
        <v>0</v>
      </c>
      <c r="R14" s="19">
        <v>0</v>
      </c>
      <c r="S14" s="20">
        <f t="shared" si="9"/>
        <v>0</v>
      </c>
      <c r="T14" s="19">
        <f t="shared" si="10"/>
        <v>0</v>
      </c>
      <c r="U14" s="20">
        <f t="shared" si="10"/>
        <v>0</v>
      </c>
      <c r="V14" s="17">
        <v>0</v>
      </c>
      <c r="W14" s="18">
        <f t="shared" si="11"/>
        <v>0</v>
      </c>
      <c r="X14" s="17">
        <v>0</v>
      </c>
      <c r="Y14" s="18">
        <f t="shared" si="12"/>
        <v>0</v>
      </c>
      <c r="Z14" s="17">
        <f t="shared" si="13"/>
        <v>0</v>
      </c>
      <c r="AA14" s="18">
        <f t="shared" si="14"/>
        <v>0</v>
      </c>
      <c r="AB14" s="19">
        <v>0</v>
      </c>
      <c r="AC14" s="20">
        <f t="shared" si="15"/>
        <v>0</v>
      </c>
      <c r="AD14" s="19">
        <v>0</v>
      </c>
      <c r="AE14" s="20">
        <f t="shared" si="16"/>
        <v>0</v>
      </c>
      <c r="AF14" s="19">
        <f t="shared" si="17"/>
        <v>0</v>
      </c>
      <c r="AG14" s="20">
        <f t="shared" si="17"/>
        <v>0</v>
      </c>
      <c r="AH14" s="17">
        <v>0</v>
      </c>
      <c r="AI14" s="18">
        <f t="shared" si="18"/>
        <v>0</v>
      </c>
      <c r="AJ14" s="17">
        <v>0</v>
      </c>
      <c r="AK14" s="18">
        <f t="shared" si="19"/>
        <v>0</v>
      </c>
      <c r="AL14" s="17">
        <f t="shared" si="20"/>
        <v>0</v>
      </c>
      <c r="AM14" s="18">
        <f t="shared" si="20"/>
        <v>0</v>
      </c>
      <c r="AN14" s="84">
        <f t="shared" si="21"/>
        <v>100500</v>
      </c>
      <c r="AO14" s="77"/>
      <c r="AP14" s="77">
        <v>100500</v>
      </c>
      <c r="AQ14" s="77">
        <f t="shared" si="22"/>
        <v>0</v>
      </c>
    </row>
    <row r="15" spans="1:43">
      <c r="A15" s="213" t="s">
        <v>5</v>
      </c>
      <c r="B15" s="213"/>
      <c r="C15" s="213"/>
      <c r="D15" s="29">
        <f t="shared" ref="D15:N15" si="23">SUM(D4:D14)</f>
        <v>1</v>
      </c>
      <c r="E15" s="30">
        <f t="shared" si="23"/>
        <v>540000</v>
      </c>
      <c r="F15" s="29">
        <f t="shared" si="23"/>
        <v>1</v>
      </c>
      <c r="G15" s="30">
        <f t="shared" si="23"/>
        <v>514560</v>
      </c>
      <c r="H15" s="29">
        <f t="shared" si="23"/>
        <v>2</v>
      </c>
      <c r="I15" s="30">
        <f t="shared" si="23"/>
        <v>1054560</v>
      </c>
      <c r="J15" s="29">
        <f t="shared" si="23"/>
        <v>0</v>
      </c>
      <c r="K15" s="30">
        <f t="shared" si="23"/>
        <v>0</v>
      </c>
      <c r="L15" s="29">
        <f t="shared" si="23"/>
        <v>14</v>
      </c>
      <c r="M15" s="30">
        <f t="shared" si="23"/>
        <v>1407000</v>
      </c>
      <c r="N15" s="29">
        <f t="shared" si="23"/>
        <v>14</v>
      </c>
      <c r="O15" s="82">
        <f t="shared" si="7"/>
        <v>1407000</v>
      </c>
      <c r="P15" s="29">
        <f t="shared" ref="P15:U15" si="24">SUM(P4:P14)</f>
        <v>1</v>
      </c>
      <c r="Q15" s="30">
        <f t="shared" si="24"/>
        <v>330000</v>
      </c>
      <c r="R15" s="29">
        <f t="shared" si="24"/>
        <v>4</v>
      </c>
      <c r="S15" s="30">
        <f t="shared" si="24"/>
        <v>884400</v>
      </c>
      <c r="T15" s="29">
        <f t="shared" si="24"/>
        <v>5</v>
      </c>
      <c r="U15" s="30">
        <f t="shared" si="24"/>
        <v>1214400</v>
      </c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29">
        <f>SUM(AH4:AH14)</f>
        <v>1</v>
      </c>
      <c r="AI15" s="30">
        <f>SUM(AI4:AI14)</f>
        <v>330000</v>
      </c>
      <c r="AJ15" s="29">
        <f>SUM(AJ4:AJ14)</f>
        <v>1</v>
      </c>
      <c r="AK15" s="30">
        <f>SUM(AK4:AK14)</f>
        <v>221100</v>
      </c>
      <c r="AL15" s="29">
        <f>SUM(AL4:AL14)</f>
        <v>2</v>
      </c>
      <c r="AM15" s="82">
        <f t="shared" si="20"/>
        <v>551100</v>
      </c>
      <c r="AN15" s="82">
        <f>SUM(AN4:AN14)</f>
        <v>4227060</v>
      </c>
      <c r="AO15" s="77"/>
      <c r="AP15" s="77">
        <f>SUM(AP4:AP14)</f>
        <v>3172500</v>
      </c>
      <c r="AQ15" s="77">
        <f t="shared" si="22"/>
        <v>1054560</v>
      </c>
    </row>
    <row r="16" spans="1:43">
      <c r="A16" t="s">
        <v>123</v>
      </c>
      <c r="B16" s="85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AI16" s="66"/>
    </row>
    <row r="17" spans="1:35">
      <c r="B17" s="85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AI17" s="66"/>
    </row>
    <row r="18" spans="1:35">
      <c r="A18" t="s">
        <v>124</v>
      </c>
      <c r="B18" s="85"/>
      <c r="AI18" s="66"/>
    </row>
    <row r="22" spans="1:35">
      <c r="G22" s="1"/>
    </row>
    <row r="24" spans="1:35">
      <c r="F24" s="77"/>
      <c r="G24" s="77"/>
      <c r="K24" s="102"/>
    </row>
    <row r="26" spans="1:35">
      <c r="K26" s="77"/>
      <c r="L26" s="77"/>
    </row>
    <row r="27" spans="1:35">
      <c r="J27" s="102"/>
      <c r="K27" s="77"/>
      <c r="R27" s="77"/>
    </row>
    <row r="28" spans="1:35">
      <c r="T28" s="77"/>
    </row>
    <row r="30" spans="1:35">
      <c r="L30" s="102"/>
    </row>
    <row r="31" spans="1:35">
      <c r="I31" s="77"/>
    </row>
    <row r="32" spans="1:35">
      <c r="K32" s="77"/>
      <c r="L32" s="77"/>
    </row>
  </sheetData>
  <protectedRanges>
    <protectedRange sqref="A4:C14" name="informações"/>
  </protectedRanges>
  <mergeCells count="30">
    <mergeCell ref="A15:C15"/>
    <mergeCell ref="B2:B3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AH1:AM1"/>
    <mergeCell ref="AN1:AN3"/>
    <mergeCell ref="A2:A3"/>
    <mergeCell ref="C2:C3"/>
    <mergeCell ref="D2:E2"/>
    <mergeCell ref="F2:G2"/>
    <mergeCell ref="H2:I2"/>
    <mergeCell ref="J2:K2"/>
    <mergeCell ref="L2:M2"/>
    <mergeCell ref="N2:O2"/>
    <mergeCell ref="A1:C1"/>
    <mergeCell ref="D1:I1"/>
    <mergeCell ref="J1:O1"/>
    <mergeCell ref="P1:U1"/>
    <mergeCell ref="V1:AA1"/>
    <mergeCell ref="AB1:AG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0 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"/>
  <sheetViews>
    <sheetView workbookViewId="0">
      <pane xSplit="4" ySplit="3" topLeftCell="Y4" activePane="bottomRight" state="frozen"/>
      <selection pane="topRight" activeCell="E1" sqref="E1"/>
      <selection pane="bottomLeft" activeCell="A4" sqref="A4"/>
      <selection pane="bottomRight" activeCell="AC20" sqref="AC20"/>
    </sheetView>
  </sheetViews>
  <sheetFormatPr defaultRowHeight="15"/>
  <cols>
    <col min="1" max="1" width="31.140625" customWidth="1"/>
    <col min="2" max="2" width="18.85546875" bestFit="1" customWidth="1"/>
    <col min="3" max="3" width="13.85546875" bestFit="1" customWidth="1"/>
    <col min="4" max="4" width="23" customWidth="1"/>
    <col min="5" max="5" width="20.7109375" bestFit="1" customWidth="1"/>
    <col min="6" max="6" width="13.7109375" bestFit="1" customWidth="1"/>
    <col min="7" max="7" width="23.7109375" bestFit="1" customWidth="1"/>
    <col min="8" max="8" width="11.85546875" customWidth="1"/>
    <col min="9" max="9" width="16.7109375" customWidth="1"/>
    <col min="10" max="10" width="6.42578125" bestFit="1" customWidth="1"/>
    <col min="11" max="11" width="13.28515625" customWidth="1"/>
    <col min="12" max="12" width="10.140625" customWidth="1"/>
    <col min="13" max="13" width="13.28515625" customWidth="1"/>
    <col min="15" max="15" width="12" customWidth="1"/>
    <col min="16" max="16" width="11" customWidth="1"/>
    <col min="17" max="17" width="16.85546875" customWidth="1"/>
    <col min="19" max="21" width="12.5703125" customWidth="1"/>
    <col min="23" max="23" width="11.85546875" customWidth="1"/>
    <col min="24" max="24" width="12" customWidth="1"/>
    <col min="25" max="25" width="16.85546875" customWidth="1"/>
    <col min="27" max="27" width="12" bestFit="1" customWidth="1"/>
    <col min="28" max="28" width="12" customWidth="1"/>
    <col min="29" max="29" width="13.28515625" bestFit="1" customWidth="1"/>
    <col min="31" max="31" width="13.28515625" bestFit="1" customWidth="1"/>
    <col min="32" max="32" width="18" customWidth="1"/>
    <col min="34" max="34" width="13.28515625" bestFit="1" customWidth="1"/>
  </cols>
  <sheetData>
    <row r="1" spans="1:34" ht="15" customHeight="1">
      <c r="A1" s="195" t="s">
        <v>7</v>
      </c>
      <c r="B1" s="196"/>
      <c r="C1" s="196"/>
      <c r="D1" s="196"/>
      <c r="E1" s="196"/>
      <c r="F1" s="196"/>
      <c r="G1" s="214"/>
      <c r="H1" s="197" t="s">
        <v>32</v>
      </c>
      <c r="I1" s="198"/>
      <c r="J1" s="198"/>
      <c r="K1" s="198"/>
      <c r="L1" s="198"/>
      <c r="M1" s="198"/>
      <c r="N1" s="198"/>
      <c r="O1" s="199"/>
      <c r="P1" s="200" t="s">
        <v>33</v>
      </c>
      <c r="Q1" s="201"/>
      <c r="R1" s="201"/>
      <c r="S1" s="201"/>
      <c r="T1" s="201"/>
      <c r="U1" s="202"/>
      <c r="V1" s="200"/>
      <c r="W1" s="201"/>
      <c r="X1" s="197" t="s">
        <v>35</v>
      </c>
      <c r="Y1" s="198"/>
      <c r="Z1" s="198"/>
      <c r="AA1" s="198"/>
      <c r="AB1" s="198"/>
      <c r="AC1" s="198"/>
      <c r="AD1" s="198"/>
      <c r="AE1" s="199"/>
      <c r="AF1" s="215" t="s">
        <v>19</v>
      </c>
    </row>
    <row r="2" spans="1:34" ht="15" customHeight="1">
      <c r="A2" s="206" t="s">
        <v>0</v>
      </c>
      <c r="B2" s="208" t="s">
        <v>1</v>
      </c>
      <c r="C2" s="208" t="s">
        <v>44</v>
      </c>
      <c r="D2" s="208" t="s">
        <v>87</v>
      </c>
      <c r="E2" s="206" t="s">
        <v>2</v>
      </c>
      <c r="F2" s="206" t="s">
        <v>3</v>
      </c>
      <c r="G2" s="206" t="s">
        <v>4</v>
      </c>
      <c r="H2" s="210" t="s">
        <v>34</v>
      </c>
      <c r="I2" s="211"/>
      <c r="J2" s="210" t="s">
        <v>23</v>
      </c>
      <c r="K2" s="211"/>
      <c r="L2" s="210" t="s">
        <v>36</v>
      </c>
      <c r="M2" s="211"/>
      <c r="N2" s="210" t="s">
        <v>5</v>
      </c>
      <c r="O2" s="211"/>
      <c r="P2" s="212" t="s">
        <v>34</v>
      </c>
      <c r="Q2" s="212"/>
      <c r="R2" s="212" t="s">
        <v>23</v>
      </c>
      <c r="S2" s="212"/>
      <c r="T2" s="212" t="s">
        <v>36</v>
      </c>
      <c r="U2" s="212"/>
      <c r="V2" s="212" t="s">
        <v>5</v>
      </c>
      <c r="W2" s="212"/>
      <c r="X2" s="210" t="s">
        <v>34</v>
      </c>
      <c r="Y2" s="211"/>
      <c r="Z2" s="210" t="s">
        <v>23</v>
      </c>
      <c r="AA2" s="211"/>
      <c r="AB2" s="210" t="s">
        <v>36</v>
      </c>
      <c r="AC2" s="211"/>
      <c r="AD2" s="210" t="s">
        <v>5</v>
      </c>
      <c r="AE2" s="211"/>
      <c r="AF2" s="215"/>
    </row>
    <row r="3" spans="1:34" ht="22.5">
      <c r="A3" s="207"/>
      <c r="B3" s="209"/>
      <c r="C3" s="209"/>
      <c r="D3" s="209"/>
      <c r="E3" s="207"/>
      <c r="F3" s="207"/>
      <c r="G3" s="207"/>
      <c r="H3" s="11" t="s">
        <v>18</v>
      </c>
      <c r="I3" s="12" t="s">
        <v>6</v>
      </c>
      <c r="J3" s="11" t="s">
        <v>18</v>
      </c>
      <c r="K3" s="12" t="s">
        <v>6</v>
      </c>
      <c r="L3" s="13" t="s">
        <v>18</v>
      </c>
      <c r="M3" s="14" t="s">
        <v>6</v>
      </c>
      <c r="N3" s="11" t="s">
        <v>9</v>
      </c>
      <c r="O3" s="12" t="s">
        <v>6</v>
      </c>
      <c r="P3" s="15" t="s">
        <v>18</v>
      </c>
      <c r="Q3" s="16" t="s">
        <v>6</v>
      </c>
      <c r="R3" s="15" t="s">
        <v>18</v>
      </c>
      <c r="S3" s="16" t="s">
        <v>6</v>
      </c>
      <c r="T3" s="15" t="s">
        <v>18</v>
      </c>
      <c r="U3" s="16" t="s">
        <v>6</v>
      </c>
      <c r="V3" s="15" t="s">
        <v>9</v>
      </c>
      <c r="W3" s="16" t="s">
        <v>6</v>
      </c>
      <c r="X3" s="11" t="s">
        <v>18</v>
      </c>
      <c r="Y3" s="12" t="s">
        <v>6</v>
      </c>
      <c r="Z3" s="11" t="s">
        <v>18</v>
      </c>
      <c r="AA3" s="12" t="s">
        <v>6</v>
      </c>
      <c r="AB3" s="13" t="s">
        <v>18</v>
      </c>
      <c r="AC3" s="14" t="s">
        <v>6</v>
      </c>
      <c r="AD3" s="11" t="s">
        <v>9</v>
      </c>
      <c r="AE3" s="12" t="s">
        <v>6</v>
      </c>
      <c r="AF3" s="215"/>
    </row>
    <row r="4" spans="1:34" ht="15" customHeight="1">
      <c r="A4" s="37" t="s">
        <v>45</v>
      </c>
      <c r="B4" s="38" t="s">
        <v>53</v>
      </c>
      <c r="C4" s="39" t="s">
        <v>88</v>
      </c>
      <c r="D4" s="40" t="s">
        <v>89</v>
      </c>
      <c r="E4" s="3"/>
      <c r="F4" s="38" t="s">
        <v>56</v>
      </c>
      <c r="G4" s="4"/>
      <c r="H4" s="19">
        <v>0</v>
      </c>
      <c r="I4" s="20">
        <f>H4*100000*12</f>
        <v>0</v>
      </c>
      <c r="J4" s="19">
        <v>0</v>
      </c>
      <c r="K4" s="20">
        <f>J4*(170000-100000)*12</f>
        <v>0</v>
      </c>
      <c r="L4" s="19">
        <v>0</v>
      </c>
      <c r="M4" s="20">
        <f>L4*100000*12</f>
        <v>0</v>
      </c>
      <c r="N4" s="19">
        <f>SUM(H4+J4+L4)</f>
        <v>0</v>
      </c>
      <c r="O4" s="20">
        <f>SUM(I4+K4+M4)</f>
        <v>0</v>
      </c>
      <c r="P4" s="17">
        <v>0</v>
      </c>
      <c r="Q4" s="18">
        <f>P4*175000*12</f>
        <v>0</v>
      </c>
      <c r="R4" s="17">
        <v>0</v>
      </c>
      <c r="S4" s="18">
        <f>R4*(300000-175000)*12</f>
        <v>0</v>
      </c>
      <c r="T4" s="17">
        <v>0</v>
      </c>
      <c r="U4" s="18">
        <f>T4*175000*12</f>
        <v>0</v>
      </c>
      <c r="V4" s="17">
        <f>SUM(P4+R4+T4)</f>
        <v>0</v>
      </c>
      <c r="W4" s="18">
        <f t="shared" ref="W4:W11" si="0">SUM(Q4+S4+U30)</f>
        <v>0</v>
      </c>
      <c r="X4" s="19">
        <v>1</v>
      </c>
      <c r="Y4" s="20">
        <f>X4*250000*12</f>
        <v>3000000</v>
      </c>
      <c r="Z4" s="19">
        <v>0</v>
      </c>
      <c r="AA4" s="20">
        <f>Z4*(500000-250000)*12</f>
        <v>0</v>
      </c>
      <c r="AB4" s="19">
        <v>0</v>
      </c>
      <c r="AC4" s="20">
        <f>AB4*300000*12</f>
        <v>0</v>
      </c>
      <c r="AD4" s="19">
        <f>SUM(X4+Z4+AB4)</f>
        <v>1</v>
      </c>
      <c r="AE4" s="20">
        <f>SUM(Y4+AA4+AC4)</f>
        <v>3000000</v>
      </c>
      <c r="AF4" s="6">
        <f>SUM(O4+W4+AE4)</f>
        <v>3000000</v>
      </c>
    </row>
    <row r="5" spans="1:34">
      <c r="A5" s="37" t="s">
        <v>45</v>
      </c>
      <c r="B5" s="38" t="s">
        <v>53</v>
      </c>
      <c r="C5" s="39">
        <v>2511738</v>
      </c>
      <c r="D5" s="40" t="s">
        <v>90</v>
      </c>
      <c r="E5" s="3"/>
      <c r="F5" s="38" t="s">
        <v>56</v>
      </c>
      <c r="G5" s="4"/>
      <c r="H5" s="19">
        <v>0</v>
      </c>
      <c r="I5" s="20">
        <f t="shared" ref="I5:I11" si="1">H5*100000*12</f>
        <v>0</v>
      </c>
      <c r="J5" s="19">
        <v>0</v>
      </c>
      <c r="K5" s="20">
        <f t="shared" ref="K5:K11" si="2">J5*(170000-100000)*12</f>
        <v>0</v>
      </c>
      <c r="L5" s="19">
        <v>0</v>
      </c>
      <c r="M5" s="20">
        <f t="shared" ref="M5:M11" si="3">L5*100000*12</f>
        <v>0</v>
      </c>
      <c r="N5" s="19">
        <f t="shared" ref="N5:N11" si="4">SUM(H5+J5+L5)</f>
        <v>0</v>
      </c>
      <c r="O5" s="20">
        <f t="shared" ref="O5:O11" si="5">SUM(I5+K5+M5)</f>
        <v>0</v>
      </c>
      <c r="P5" s="17">
        <v>0</v>
      </c>
      <c r="Q5" s="18">
        <f t="shared" ref="Q5:Q11" si="6">P5*175000*12</f>
        <v>0</v>
      </c>
      <c r="R5" s="17">
        <v>0</v>
      </c>
      <c r="S5" s="18">
        <f t="shared" ref="S5:S11" si="7">R5*(300000-175000)*12</f>
        <v>0</v>
      </c>
      <c r="T5" s="17">
        <v>0</v>
      </c>
      <c r="U5" s="18">
        <f t="shared" ref="U5:U11" si="8">T5*175000*12</f>
        <v>0</v>
      </c>
      <c r="V5" s="17">
        <f t="shared" ref="V5:V11" si="9">SUM(P5+R5)</f>
        <v>0</v>
      </c>
      <c r="W5" s="18">
        <f t="shared" si="0"/>
        <v>0</v>
      </c>
      <c r="X5" s="19">
        <v>0</v>
      </c>
      <c r="Y5" s="20">
        <f t="shared" ref="Y5:Y11" si="10">X5*250000*12</f>
        <v>0</v>
      </c>
      <c r="Z5" s="19">
        <v>0</v>
      </c>
      <c r="AA5" s="20">
        <f t="shared" ref="AA5:AA11" si="11">Z5*(500000-250000)*12</f>
        <v>0</v>
      </c>
      <c r="AB5" s="19">
        <v>1</v>
      </c>
      <c r="AC5" s="20">
        <f t="shared" ref="AC5:AC11" si="12">AB5*300000*12</f>
        <v>3600000</v>
      </c>
      <c r="AD5" s="19">
        <f t="shared" ref="AD5:AD11" si="13">SUM(X5+Z5+AB5)</f>
        <v>1</v>
      </c>
      <c r="AE5" s="20">
        <f t="shared" ref="AE5:AE11" si="14">SUM(Y5+AA5+AC5)</f>
        <v>3600000</v>
      </c>
      <c r="AF5" s="6">
        <f t="shared" ref="AF5:AF11" si="15">SUM(O5+W5+AE5)</f>
        <v>3600000</v>
      </c>
    </row>
    <row r="6" spans="1:34" ht="24.75">
      <c r="A6" s="37" t="s">
        <v>45</v>
      </c>
      <c r="B6" s="38" t="s">
        <v>53</v>
      </c>
      <c r="C6" s="39">
        <v>6439993</v>
      </c>
      <c r="D6" s="40" t="s">
        <v>91</v>
      </c>
      <c r="E6" s="3"/>
      <c r="F6" s="38" t="s">
        <v>56</v>
      </c>
      <c r="G6" s="4"/>
      <c r="H6" s="19">
        <v>0</v>
      </c>
      <c r="I6" s="20">
        <f t="shared" si="1"/>
        <v>0</v>
      </c>
      <c r="J6" s="19">
        <v>0</v>
      </c>
      <c r="K6" s="20">
        <f t="shared" si="2"/>
        <v>0</v>
      </c>
      <c r="L6" s="19">
        <v>1</v>
      </c>
      <c r="M6" s="20">
        <f t="shared" si="3"/>
        <v>1200000</v>
      </c>
      <c r="N6" s="19">
        <f t="shared" si="4"/>
        <v>1</v>
      </c>
      <c r="O6" s="20">
        <f t="shared" si="5"/>
        <v>1200000</v>
      </c>
      <c r="P6" s="17">
        <v>0</v>
      </c>
      <c r="Q6" s="18">
        <f t="shared" si="6"/>
        <v>0</v>
      </c>
      <c r="R6" s="17">
        <v>0</v>
      </c>
      <c r="S6" s="18">
        <f t="shared" si="7"/>
        <v>0</v>
      </c>
      <c r="T6" s="17">
        <v>0</v>
      </c>
      <c r="U6" s="18">
        <f t="shared" si="8"/>
        <v>0</v>
      </c>
      <c r="V6" s="17">
        <f t="shared" si="9"/>
        <v>0</v>
      </c>
      <c r="W6" s="18">
        <f t="shared" si="0"/>
        <v>0</v>
      </c>
      <c r="X6" s="19">
        <v>0</v>
      </c>
      <c r="Y6" s="20">
        <f t="shared" si="10"/>
        <v>0</v>
      </c>
      <c r="Z6" s="19">
        <v>0</v>
      </c>
      <c r="AA6" s="20">
        <f t="shared" si="11"/>
        <v>0</v>
      </c>
      <c r="AB6" s="19">
        <v>0</v>
      </c>
      <c r="AC6" s="20">
        <f t="shared" si="12"/>
        <v>0</v>
      </c>
      <c r="AD6" s="19">
        <f t="shared" si="13"/>
        <v>0</v>
      </c>
      <c r="AE6" s="20">
        <f t="shared" si="14"/>
        <v>0</v>
      </c>
      <c r="AF6" s="6">
        <f t="shared" si="15"/>
        <v>1200000</v>
      </c>
      <c r="AH6" s="77">
        <f>SUM(AF4:AF6)</f>
        <v>7800000</v>
      </c>
    </row>
    <row r="7" spans="1:34" ht="24.75">
      <c r="A7" s="37" t="s">
        <v>45</v>
      </c>
      <c r="B7" s="41" t="s">
        <v>64</v>
      </c>
      <c r="C7" s="42">
        <v>7039336</v>
      </c>
      <c r="D7" s="43" t="s">
        <v>92</v>
      </c>
      <c r="E7" s="3"/>
      <c r="F7" s="41" t="s">
        <v>56</v>
      </c>
      <c r="G7" s="4"/>
      <c r="H7" s="19">
        <v>1</v>
      </c>
      <c r="I7" s="20">
        <f t="shared" si="1"/>
        <v>1200000</v>
      </c>
      <c r="J7" s="19">
        <v>1</v>
      </c>
      <c r="K7" s="20">
        <f t="shared" si="2"/>
        <v>840000</v>
      </c>
      <c r="L7" s="19">
        <v>0</v>
      </c>
      <c r="M7" s="20">
        <f t="shared" si="3"/>
        <v>0</v>
      </c>
      <c r="N7" s="19">
        <f t="shared" si="4"/>
        <v>2</v>
      </c>
      <c r="O7" s="20">
        <f t="shared" si="5"/>
        <v>2040000</v>
      </c>
      <c r="P7" s="17">
        <v>0</v>
      </c>
      <c r="Q7" s="18">
        <f t="shared" si="6"/>
        <v>0</v>
      </c>
      <c r="R7" s="17">
        <v>0</v>
      </c>
      <c r="S7" s="18">
        <f t="shared" si="7"/>
        <v>0</v>
      </c>
      <c r="T7" s="17">
        <v>0</v>
      </c>
      <c r="U7" s="18">
        <f t="shared" si="8"/>
        <v>0</v>
      </c>
      <c r="V7" s="17">
        <f t="shared" si="9"/>
        <v>0</v>
      </c>
      <c r="W7" s="18">
        <f t="shared" si="0"/>
        <v>0</v>
      </c>
      <c r="X7" s="19">
        <v>0</v>
      </c>
      <c r="Y7" s="20">
        <f t="shared" si="10"/>
        <v>0</v>
      </c>
      <c r="Z7" s="19">
        <v>0</v>
      </c>
      <c r="AA7" s="20">
        <f t="shared" si="11"/>
        <v>0</v>
      </c>
      <c r="AB7" s="19">
        <v>0</v>
      </c>
      <c r="AC7" s="20">
        <f t="shared" si="12"/>
        <v>0</v>
      </c>
      <c r="AD7" s="19">
        <f t="shared" si="13"/>
        <v>0</v>
      </c>
      <c r="AE7" s="20">
        <f t="shared" si="14"/>
        <v>0</v>
      </c>
      <c r="AF7" s="6">
        <f t="shared" si="15"/>
        <v>2040000</v>
      </c>
    </row>
    <row r="8" spans="1:34">
      <c r="A8" s="44" t="s">
        <v>48</v>
      </c>
      <c r="B8" s="45" t="s">
        <v>67</v>
      </c>
      <c r="C8" s="39" t="s">
        <v>88</v>
      </c>
      <c r="D8" s="46" t="s">
        <v>88</v>
      </c>
      <c r="E8" s="3"/>
      <c r="F8" s="45" t="s">
        <v>56</v>
      </c>
      <c r="G8" s="4"/>
      <c r="H8" s="19">
        <v>1</v>
      </c>
      <c r="I8" s="20">
        <f t="shared" si="1"/>
        <v>1200000</v>
      </c>
      <c r="J8" s="19">
        <v>1</v>
      </c>
      <c r="K8" s="20">
        <f t="shared" si="2"/>
        <v>840000</v>
      </c>
      <c r="L8" s="19">
        <v>0</v>
      </c>
      <c r="M8" s="20">
        <f t="shared" si="3"/>
        <v>0</v>
      </c>
      <c r="N8" s="19">
        <f t="shared" si="4"/>
        <v>2</v>
      </c>
      <c r="O8" s="20">
        <f t="shared" si="5"/>
        <v>2040000</v>
      </c>
      <c r="P8" s="17">
        <v>0</v>
      </c>
      <c r="Q8" s="18">
        <f t="shared" si="6"/>
        <v>0</v>
      </c>
      <c r="R8" s="17">
        <v>0</v>
      </c>
      <c r="S8" s="18">
        <f t="shared" si="7"/>
        <v>0</v>
      </c>
      <c r="T8" s="17">
        <v>0</v>
      </c>
      <c r="U8" s="18">
        <f t="shared" si="8"/>
        <v>0</v>
      </c>
      <c r="V8" s="17">
        <f t="shared" si="9"/>
        <v>0</v>
      </c>
      <c r="W8" s="18">
        <f t="shared" si="0"/>
        <v>0</v>
      </c>
      <c r="X8" s="19">
        <v>0</v>
      </c>
      <c r="Y8" s="20">
        <f t="shared" si="10"/>
        <v>0</v>
      </c>
      <c r="Z8" s="19">
        <v>0</v>
      </c>
      <c r="AA8" s="20">
        <f t="shared" si="11"/>
        <v>0</v>
      </c>
      <c r="AB8" s="19">
        <v>0</v>
      </c>
      <c r="AC8" s="20">
        <f t="shared" si="12"/>
        <v>0</v>
      </c>
      <c r="AD8" s="19">
        <f t="shared" si="13"/>
        <v>0</v>
      </c>
      <c r="AE8" s="20">
        <f t="shared" si="14"/>
        <v>0</v>
      </c>
      <c r="AF8" s="6">
        <f t="shared" si="15"/>
        <v>2040000</v>
      </c>
    </row>
    <row r="9" spans="1:34">
      <c r="A9" s="37" t="s">
        <v>51</v>
      </c>
      <c r="B9" s="45" t="s">
        <v>82</v>
      </c>
      <c r="C9" s="39" t="s">
        <v>88</v>
      </c>
      <c r="D9" s="46" t="s">
        <v>88</v>
      </c>
      <c r="E9" s="3"/>
      <c r="F9" s="45" t="s">
        <v>56</v>
      </c>
      <c r="G9" s="4"/>
      <c r="H9" s="19">
        <v>1</v>
      </c>
      <c r="I9" s="20">
        <f t="shared" si="1"/>
        <v>1200000</v>
      </c>
      <c r="J9" s="19">
        <v>1</v>
      </c>
      <c r="K9" s="20">
        <f t="shared" si="2"/>
        <v>840000</v>
      </c>
      <c r="L9" s="19">
        <v>0</v>
      </c>
      <c r="M9" s="20">
        <f t="shared" si="3"/>
        <v>0</v>
      </c>
      <c r="N9" s="19">
        <f t="shared" si="4"/>
        <v>2</v>
      </c>
      <c r="O9" s="20">
        <f t="shared" si="5"/>
        <v>2040000</v>
      </c>
      <c r="P9" s="17">
        <v>0</v>
      </c>
      <c r="Q9" s="18">
        <f t="shared" si="6"/>
        <v>0</v>
      </c>
      <c r="R9" s="17">
        <v>0</v>
      </c>
      <c r="S9" s="18">
        <f t="shared" si="7"/>
        <v>0</v>
      </c>
      <c r="T9" s="17">
        <v>0</v>
      </c>
      <c r="U9" s="18">
        <f t="shared" si="8"/>
        <v>0</v>
      </c>
      <c r="V9" s="17">
        <f t="shared" si="9"/>
        <v>0</v>
      </c>
      <c r="W9" s="18">
        <f t="shared" si="0"/>
        <v>0</v>
      </c>
      <c r="X9" s="19">
        <v>0</v>
      </c>
      <c r="Y9" s="20">
        <f t="shared" si="10"/>
        <v>0</v>
      </c>
      <c r="Z9" s="19">
        <v>0</v>
      </c>
      <c r="AA9" s="20">
        <f t="shared" si="11"/>
        <v>0</v>
      </c>
      <c r="AB9" s="19">
        <v>0</v>
      </c>
      <c r="AC9" s="20">
        <f t="shared" si="12"/>
        <v>0</v>
      </c>
      <c r="AD9" s="19">
        <f t="shared" si="13"/>
        <v>0</v>
      </c>
      <c r="AE9" s="20">
        <f t="shared" si="14"/>
        <v>0</v>
      </c>
      <c r="AF9" s="6">
        <f t="shared" si="15"/>
        <v>2040000</v>
      </c>
    </row>
    <row r="10" spans="1:34">
      <c r="A10" s="37" t="s">
        <v>51</v>
      </c>
      <c r="B10" s="45" t="s">
        <v>84</v>
      </c>
      <c r="C10" s="47" t="s">
        <v>93</v>
      </c>
      <c r="D10" s="46" t="s">
        <v>93</v>
      </c>
      <c r="E10" s="3"/>
      <c r="F10" s="45" t="s">
        <v>56</v>
      </c>
      <c r="G10" s="4"/>
      <c r="H10" s="19">
        <v>1</v>
      </c>
      <c r="I10" s="20">
        <f t="shared" si="1"/>
        <v>1200000</v>
      </c>
      <c r="J10" s="19">
        <v>1</v>
      </c>
      <c r="K10" s="20">
        <f t="shared" si="2"/>
        <v>840000</v>
      </c>
      <c r="L10" s="19">
        <v>0</v>
      </c>
      <c r="M10" s="20">
        <f t="shared" si="3"/>
        <v>0</v>
      </c>
      <c r="N10" s="19">
        <f t="shared" si="4"/>
        <v>2</v>
      </c>
      <c r="O10" s="20">
        <f t="shared" si="5"/>
        <v>2040000</v>
      </c>
      <c r="P10" s="17">
        <v>0</v>
      </c>
      <c r="Q10" s="18">
        <f t="shared" si="6"/>
        <v>0</v>
      </c>
      <c r="R10" s="17">
        <v>0</v>
      </c>
      <c r="S10" s="18">
        <f t="shared" si="7"/>
        <v>0</v>
      </c>
      <c r="T10" s="17">
        <v>0</v>
      </c>
      <c r="U10" s="18">
        <f t="shared" si="8"/>
        <v>0</v>
      </c>
      <c r="V10" s="17">
        <f t="shared" si="9"/>
        <v>0</v>
      </c>
      <c r="W10" s="18">
        <f t="shared" si="0"/>
        <v>0</v>
      </c>
      <c r="X10" s="19">
        <v>0</v>
      </c>
      <c r="Y10" s="20">
        <f t="shared" si="10"/>
        <v>0</v>
      </c>
      <c r="Z10" s="19">
        <v>0</v>
      </c>
      <c r="AA10" s="20">
        <f t="shared" si="11"/>
        <v>0</v>
      </c>
      <c r="AB10" s="19">
        <v>0</v>
      </c>
      <c r="AC10" s="20">
        <f t="shared" si="12"/>
        <v>0</v>
      </c>
      <c r="AD10" s="19">
        <f t="shared" si="13"/>
        <v>0</v>
      </c>
      <c r="AE10" s="20">
        <f t="shared" si="14"/>
        <v>0</v>
      </c>
      <c r="AF10" s="6">
        <f t="shared" si="15"/>
        <v>2040000</v>
      </c>
    </row>
    <row r="11" spans="1:34">
      <c r="A11" s="43" t="s">
        <v>49</v>
      </c>
      <c r="B11" s="48" t="s">
        <v>77</v>
      </c>
      <c r="C11" s="48" t="s">
        <v>88</v>
      </c>
      <c r="D11" s="49" t="s">
        <v>88</v>
      </c>
      <c r="E11" s="3"/>
      <c r="F11" s="50" t="s">
        <v>56</v>
      </c>
      <c r="G11" s="4"/>
      <c r="H11" s="19">
        <v>1</v>
      </c>
      <c r="I11" s="20">
        <f t="shared" si="1"/>
        <v>1200000</v>
      </c>
      <c r="J11" s="19">
        <v>1</v>
      </c>
      <c r="K11" s="20">
        <f t="shared" si="2"/>
        <v>840000</v>
      </c>
      <c r="L11" s="19">
        <v>0</v>
      </c>
      <c r="M11" s="20">
        <f t="shared" si="3"/>
        <v>0</v>
      </c>
      <c r="N11" s="19">
        <f t="shared" si="4"/>
        <v>2</v>
      </c>
      <c r="O11" s="20">
        <f t="shared" si="5"/>
        <v>2040000</v>
      </c>
      <c r="P11" s="17">
        <v>0</v>
      </c>
      <c r="Q11" s="18">
        <f t="shared" si="6"/>
        <v>0</v>
      </c>
      <c r="R11" s="17">
        <v>0</v>
      </c>
      <c r="S11" s="18">
        <f t="shared" si="7"/>
        <v>0</v>
      </c>
      <c r="T11" s="17">
        <v>0</v>
      </c>
      <c r="U11" s="18">
        <f t="shared" si="8"/>
        <v>0</v>
      </c>
      <c r="V11" s="17">
        <f t="shared" si="9"/>
        <v>0</v>
      </c>
      <c r="W11" s="18">
        <f t="shared" si="0"/>
        <v>0</v>
      </c>
      <c r="X11" s="19">
        <v>0</v>
      </c>
      <c r="Y11" s="20">
        <f t="shared" si="10"/>
        <v>0</v>
      </c>
      <c r="Z11" s="19">
        <v>0</v>
      </c>
      <c r="AA11" s="20">
        <f t="shared" si="11"/>
        <v>0</v>
      </c>
      <c r="AB11" s="19">
        <v>0</v>
      </c>
      <c r="AC11" s="20">
        <f t="shared" si="12"/>
        <v>0</v>
      </c>
      <c r="AD11" s="19">
        <f t="shared" si="13"/>
        <v>0</v>
      </c>
      <c r="AE11" s="20">
        <f t="shared" si="14"/>
        <v>0</v>
      </c>
      <c r="AF11" s="6">
        <f t="shared" si="15"/>
        <v>2040000</v>
      </c>
    </row>
    <row r="12" spans="1:34">
      <c r="A12" s="213" t="s">
        <v>5</v>
      </c>
      <c r="B12" s="213"/>
      <c r="C12" s="213"/>
      <c r="D12" s="213"/>
      <c r="E12" s="213"/>
      <c r="F12" s="213"/>
      <c r="G12" s="213"/>
      <c r="H12" s="29">
        <f t="shared" ref="H12:AF12" si="16">SUM(H4:H11)</f>
        <v>5</v>
      </c>
      <c r="I12" s="30">
        <f t="shared" si="16"/>
        <v>6000000</v>
      </c>
      <c r="J12" s="29">
        <f t="shared" si="16"/>
        <v>5</v>
      </c>
      <c r="K12" s="30">
        <f t="shared" si="16"/>
        <v>4200000</v>
      </c>
      <c r="L12" s="29">
        <f t="shared" si="16"/>
        <v>1</v>
      </c>
      <c r="M12" s="30">
        <f t="shared" si="16"/>
        <v>1200000</v>
      </c>
      <c r="N12" s="29">
        <f t="shared" si="16"/>
        <v>11</v>
      </c>
      <c r="O12" s="30">
        <f t="shared" si="16"/>
        <v>11400000</v>
      </c>
      <c r="P12" s="29">
        <f t="shared" si="16"/>
        <v>0</v>
      </c>
      <c r="Q12" s="30">
        <f t="shared" si="16"/>
        <v>0</v>
      </c>
      <c r="R12" s="29">
        <f t="shared" si="16"/>
        <v>0</v>
      </c>
      <c r="S12" s="30">
        <f t="shared" si="16"/>
        <v>0</v>
      </c>
      <c r="T12" s="29">
        <f t="shared" si="16"/>
        <v>0</v>
      </c>
      <c r="U12" s="30">
        <f t="shared" si="16"/>
        <v>0</v>
      </c>
      <c r="V12" s="29">
        <f t="shared" si="16"/>
        <v>0</v>
      </c>
      <c r="W12" s="30">
        <f t="shared" si="16"/>
        <v>0</v>
      </c>
      <c r="X12" s="51">
        <f t="shared" si="16"/>
        <v>1</v>
      </c>
      <c r="Y12" s="52">
        <f t="shared" si="16"/>
        <v>3000000</v>
      </c>
      <c r="Z12" s="51">
        <f t="shared" si="16"/>
        <v>0</v>
      </c>
      <c r="AA12" s="52">
        <f t="shared" si="16"/>
        <v>0</v>
      </c>
      <c r="AB12" s="51">
        <f t="shared" si="16"/>
        <v>1</v>
      </c>
      <c r="AC12" s="52">
        <f t="shared" si="16"/>
        <v>3600000</v>
      </c>
      <c r="AD12" s="51">
        <f t="shared" si="16"/>
        <v>2</v>
      </c>
      <c r="AE12" s="52">
        <f t="shared" si="16"/>
        <v>6600000</v>
      </c>
      <c r="AF12" s="53">
        <f t="shared" si="16"/>
        <v>18000000</v>
      </c>
    </row>
    <row r="16" spans="1:34">
      <c r="K16" s="54"/>
      <c r="L16" s="54"/>
      <c r="M16" s="54"/>
    </row>
    <row r="17" spans="11:31">
      <c r="K17" s="54"/>
      <c r="L17" s="54"/>
      <c r="M17" s="54"/>
    </row>
    <row r="18" spans="11:31">
      <c r="K18" s="54"/>
      <c r="L18" s="54"/>
      <c r="M18" s="54"/>
    </row>
    <row r="19" spans="11:31">
      <c r="K19" s="54"/>
      <c r="L19" s="54"/>
      <c r="M19" s="54"/>
    </row>
    <row r="20" spans="11:31">
      <c r="K20" s="54"/>
      <c r="L20" s="54"/>
      <c r="M20" s="54"/>
      <c r="AC20" s="77"/>
      <c r="AE20" s="77"/>
    </row>
  </sheetData>
  <protectedRanges>
    <protectedRange sqref="A4:G11" name="informações"/>
  </protectedRanges>
  <mergeCells count="26">
    <mergeCell ref="Z2:AA2"/>
    <mergeCell ref="AB2:AC2"/>
    <mergeCell ref="AD2:AE2"/>
    <mergeCell ref="A12:G12"/>
    <mergeCell ref="N2:O2"/>
    <mergeCell ref="P2:Q2"/>
    <mergeCell ref="R2:S2"/>
    <mergeCell ref="T2:U2"/>
    <mergeCell ref="V2:W2"/>
    <mergeCell ref="X2:Y2"/>
    <mergeCell ref="E2:E3"/>
    <mergeCell ref="F2:F3"/>
    <mergeCell ref="G2:G3"/>
    <mergeCell ref="H2:I2"/>
    <mergeCell ref="J2:K2"/>
    <mergeCell ref="L2:M2"/>
    <mergeCell ref="A1:G1"/>
    <mergeCell ref="H1:O1"/>
    <mergeCell ref="P1:U1"/>
    <mergeCell ref="V1:W1"/>
    <mergeCell ref="X1:AE1"/>
    <mergeCell ref="AF1:AF3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L17" sqref="L17"/>
    </sheetView>
  </sheetViews>
  <sheetFormatPr defaultColWidth="19.5703125" defaultRowHeight="15"/>
  <cols>
    <col min="7" max="7" width="6.42578125" bestFit="1" customWidth="1"/>
    <col min="8" max="8" width="17" bestFit="1" customWidth="1"/>
    <col min="9" max="9" width="6.42578125" bestFit="1" customWidth="1"/>
    <col min="10" max="10" width="17" bestFit="1" customWidth="1"/>
    <col min="11" max="11" width="6" bestFit="1" customWidth="1"/>
    <col min="12" max="12" width="17" bestFit="1" customWidth="1"/>
  </cols>
  <sheetData>
    <row r="1" spans="1:14">
      <c r="A1" s="195" t="s">
        <v>7</v>
      </c>
      <c r="B1" s="196"/>
      <c r="C1" s="196"/>
      <c r="D1" s="196"/>
      <c r="E1" s="196"/>
      <c r="F1" s="214"/>
      <c r="G1" s="197" t="s">
        <v>29</v>
      </c>
      <c r="H1" s="198"/>
      <c r="I1" s="198"/>
      <c r="J1" s="198"/>
      <c r="K1" s="198"/>
      <c r="L1" s="199"/>
    </row>
    <row r="2" spans="1:14">
      <c r="A2" s="206" t="s">
        <v>0</v>
      </c>
      <c r="B2" s="208" t="s">
        <v>1</v>
      </c>
      <c r="C2" s="208" t="s">
        <v>44</v>
      </c>
      <c r="D2" s="206" t="s">
        <v>2</v>
      </c>
      <c r="E2" s="206" t="s">
        <v>3</v>
      </c>
      <c r="F2" s="206" t="s">
        <v>4</v>
      </c>
      <c r="G2" s="210" t="s">
        <v>30</v>
      </c>
      <c r="H2" s="211"/>
      <c r="I2" s="210" t="s">
        <v>31</v>
      </c>
      <c r="J2" s="211"/>
      <c r="K2" s="210" t="s">
        <v>5</v>
      </c>
      <c r="L2" s="211"/>
    </row>
    <row r="3" spans="1:14">
      <c r="A3" s="207"/>
      <c r="B3" s="209"/>
      <c r="C3" s="209"/>
      <c r="D3" s="207"/>
      <c r="E3" s="207"/>
      <c r="F3" s="207"/>
      <c r="G3" s="11" t="s">
        <v>18</v>
      </c>
      <c r="H3" s="12" t="s">
        <v>6</v>
      </c>
      <c r="I3" s="11" t="s">
        <v>18</v>
      </c>
      <c r="J3" s="12" t="s">
        <v>6</v>
      </c>
      <c r="K3" s="13" t="s">
        <v>9</v>
      </c>
      <c r="L3" s="14" t="s">
        <v>6</v>
      </c>
    </row>
    <row r="4" spans="1:14" ht="24">
      <c r="A4" s="55" t="s">
        <v>94</v>
      </c>
      <c r="B4" s="81" t="s">
        <v>144</v>
      </c>
      <c r="C4" s="56">
        <v>5723229</v>
      </c>
      <c r="D4" s="57" t="s">
        <v>46</v>
      </c>
      <c r="E4" s="57" t="s">
        <v>46</v>
      </c>
      <c r="F4" s="23" t="s">
        <v>95</v>
      </c>
      <c r="G4" s="19">
        <v>0</v>
      </c>
      <c r="H4" s="20">
        <f t="shared" ref="H4:H16" si="0">G4*34560*12</f>
        <v>0</v>
      </c>
      <c r="I4" s="19">
        <v>2</v>
      </c>
      <c r="J4" s="20">
        <f t="shared" ref="J4:J16" si="1">I4*6000*12</f>
        <v>144000</v>
      </c>
      <c r="K4" s="19">
        <f t="shared" ref="K4:L16" si="2">SUM(G4+I4)</f>
        <v>2</v>
      </c>
      <c r="L4" s="20">
        <f t="shared" si="2"/>
        <v>144000</v>
      </c>
    </row>
    <row r="5" spans="1:14" ht="24">
      <c r="A5" s="55" t="s">
        <v>96</v>
      </c>
      <c r="B5" s="81" t="s">
        <v>144</v>
      </c>
      <c r="C5" s="56">
        <v>2511703</v>
      </c>
      <c r="D5" s="57" t="s">
        <v>46</v>
      </c>
      <c r="E5" s="57" t="s">
        <v>46</v>
      </c>
      <c r="F5" s="23" t="s">
        <v>95</v>
      </c>
      <c r="G5" s="19">
        <v>1</v>
      </c>
      <c r="H5" s="20">
        <f t="shared" si="0"/>
        <v>414720</v>
      </c>
      <c r="I5" s="19">
        <v>0</v>
      </c>
      <c r="J5" s="20">
        <f t="shared" si="1"/>
        <v>0</v>
      </c>
      <c r="K5" s="19">
        <f t="shared" si="2"/>
        <v>1</v>
      </c>
      <c r="L5" s="20">
        <f t="shared" si="2"/>
        <v>414720</v>
      </c>
      <c r="M5" s="77">
        <f>H5+H6+H7+H8+H9</f>
        <v>2073600</v>
      </c>
      <c r="N5" s="77">
        <f>J4+M5</f>
        <v>2217600</v>
      </c>
    </row>
    <row r="6" spans="1:14" ht="24">
      <c r="A6" s="55" t="s">
        <v>97</v>
      </c>
      <c r="B6" s="81" t="s">
        <v>144</v>
      </c>
      <c r="C6" s="56">
        <v>3781194</v>
      </c>
      <c r="D6" s="57" t="s">
        <v>46</v>
      </c>
      <c r="E6" s="57" t="s">
        <v>46</v>
      </c>
      <c r="F6" s="23" t="s">
        <v>95</v>
      </c>
      <c r="G6" s="19">
        <v>1</v>
      </c>
      <c r="H6" s="20">
        <f t="shared" si="0"/>
        <v>414720</v>
      </c>
      <c r="I6" s="19">
        <v>0</v>
      </c>
      <c r="J6" s="20">
        <f t="shared" si="1"/>
        <v>0</v>
      </c>
      <c r="K6" s="19">
        <f t="shared" si="2"/>
        <v>1</v>
      </c>
      <c r="L6" s="20">
        <f t="shared" si="2"/>
        <v>414720</v>
      </c>
    </row>
    <row r="7" spans="1:14" ht="24">
      <c r="A7" s="55" t="s">
        <v>98</v>
      </c>
      <c r="B7" s="81" t="s">
        <v>144</v>
      </c>
      <c r="C7" s="56">
        <v>2511878</v>
      </c>
      <c r="D7" s="57" t="s">
        <v>46</v>
      </c>
      <c r="E7" s="57" t="s">
        <v>46</v>
      </c>
      <c r="F7" s="23" t="s">
        <v>95</v>
      </c>
      <c r="G7" s="19">
        <v>1</v>
      </c>
      <c r="H7" s="20">
        <f t="shared" si="0"/>
        <v>414720</v>
      </c>
      <c r="I7" s="19">
        <v>0</v>
      </c>
      <c r="J7" s="20">
        <f t="shared" si="1"/>
        <v>0</v>
      </c>
      <c r="K7" s="19">
        <f t="shared" si="2"/>
        <v>1</v>
      </c>
      <c r="L7" s="20">
        <f t="shared" si="2"/>
        <v>414720</v>
      </c>
      <c r="M7" s="77">
        <f>L4+L5+L6+L7+L8+L9</f>
        <v>2217600</v>
      </c>
    </row>
    <row r="8" spans="1:14" ht="24">
      <c r="A8" s="55" t="s">
        <v>99</v>
      </c>
      <c r="B8" s="81" t="s">
        <v>144</v>
      </c>
      <c r="C8" s="56">
        <v>2511614</v>
      </c>
      <c r="D8" s="57" t="s">
        <v>46</v>
      </c>
      <c r="E8" s="57" t="s">
        <v>46</v>
      </c>
      <c r="F8" s="23" t="s">
        <v>95</v>
      </c>
      <c r="G8" s="19">
        <v>1</v>
      </c>
      <c r="H8" s="20">
        <f t="shared" si="0"/>
        <v>414720</v>
      </c>
      <c r="I8" s="19">
        <v>0</v>
      </c>
      <c r="J8" s="20">
        <f t="shared" si="1"/>
        <v>0</v>
      </c>
      <c r="K8" s="19">
        <f t="shared" si="2"/>
        <v>1</v>
      </c>
      <c r="L8" s="20">
        <f t="shared" si="2"/>
        <v>414720</v>
      </c>
    </row>
    <row r="9" spans="1:14" ht="24">
      <c r="A9" s="55" t="s">
        <v>100</v>
      </c>
      <c r="B9" s="81" t="s">
        <v>144</v>
      </c>
      <c r="C9" s="56">
        <v>2511517</v>
      </c>
      <c r="D9" s="57" t="s">
        <v>46</v>
      </c>
      <c r="E9" s="57" t="s">
        <v>46</v>
      </c>
      <c r="F9" s="23" t="s">
        <v>95</v>
      </c>
      <c r="G9" s="19">
        <v>1</v>
      </c>
      <c r="H9" s="20">
        <f t="shared" si="0"/>
        <v>414720</v>
      </c>
      <c r="I9" s="19">
        <v>0</v>
      </c>
      <c r="J9" s="20">
        <f t="shared" si="1"/>
        <v>0</v>
      </c>
      <c r="K9" s="19">
        <f t="shared" si="2"/>
        <v>1</v>
      </c>
      <c r="L9" s="20">
        <f t="shared" si="2"/>
        <v>414720</v>
      </c>
    </row>
    <row r="10" spans="1:14" ht="24">
      <c r="A10" s="55" t="s">
        <v>101</v>
      </c>
      <c r="B10" s="79" t="s">
        <v>145</v>
      </c>
      <c r="C10" s="56">
        <v>2647559</v>
      </c>
      <c r="D10" s="57" t="s">
        <v>46</v>
      </c>
      <c r="E10" s="57" t="s">
        <v>46</v>
      </c>
      <c r="F10" s="23" t="s">
        <v>95</v>
      </c>
      <c r="G10" s="19">
        <v>1</v>
      </c>
      <c r="H10" s="20">
        <f t="shared" si="0"/>
        <v>414720</v>
      </c>
      <c r="I10" s="19">
        <v>0</v>
      </c>
      <c r="J10" s="20">
        <f t="shared" si="1"/>
        <v>0</v>
      </c>
      <c r="K10" s="19">
        <f t="shared" si="2"/>
        <v>1</v>
      </c>
      <c r="L10" s="20">
        <f t="shared" si="2"/>
        <v>414720</v>
      </c>
    </row>
    <row r="11" spans="1:14" ht="24">
      <c r="A11" s="55" t="s">
        <v>102</v>
      </c>
      <c r="B11" s="79" t="s">
        <v>145</v>
      </c>
      <c r="C11" s="56">
        <v>7039328</v>
      </c>
      <c r="D11" s="57" t="s">
        <v>46</v>
      </c>
      <c r="E11" s="57" t="s">
        <v>46</v>
      </c>
      <c r="F11" s="23" t="s">
        <v>95</v>
      </c>
      <c r="G11" s="19">
        <v>0</v>
      </c>
      <c r="H11" s="20">
        <f t="shared" si="0"/>
        <v>0</v>
      </c>
      <c r="I11" s="19">
        <v>1</v>
      </c>
      <c r="J11" s="20">
        <f t="shared" si="1"/>
        <v>72000</v>
      </c>
      <c r="K11" s="19">
        <f t="shared" si="2"/>
        <v>1</v>
      </c>
      <c r="L11" s="20">
        <f t="shared" si="2"/>
        <v>72000</v>
      </c>
      <c r="N11" s="77">
        <f>H10+J11</f>
        <v>486720</v>
      </c>
    </row>
    <row r="12" spans="1:14" ht="24">
      <c r="A12" s="55" t="s">
        <v>103</v>
      </c>
      <c r="B12" s="78" t="s">
        <v>146</v>
      </c>
      <c r="C12" s="56">
        <v>4061179</v>
      </c>
      <c r="D12" s="57" t="s">
        <v>46</v>
      </c>
      <c r="E12" s="57" t="s">
        <v>50</v>
      </c>
      <c r="F12" s="23" t="s">
        <v>95</v>
      </c>
      <c r="G12" s="19">
        <v>1</v>
      </c>
      <c r="H12" s="20">
        <f t="shared" si="0"/>
        <v>414720</v>
      </c>
      <c r="I12" s="19">
        <v>1</v>
      </c>
      <c r="J12" s="20">
        <f t="shared" si="1"/>
        <v>72000</v>
      </c>
      <c r="K12" s="19">
        <f t="shared" si="2"/>
        <v>2</v>
      </c>
      <c r="L12" s="20">
        <f t="shared" si="2"/>
        <v>486720</v>
      </c>
    </row>
    <row r="13" spans="1:14" ht="24">
      <c r="A13" s="58" t="s">
        <v>104</v>
      </c>
      <c r="B13" s="78" t="s">
        <v>147</v>
      </c>
      <c r="C13" s="56">
        <v>3796868</v>
      </c>
      <c r="D13" s="57" t="s">
        <v>46</v>
      </c>
      <c r="E13" s="57" t="s">
        <v>46</v>
      </c>
      <c r="F13" s="23" t="s">
        <v>95</v>
      </c>
      <c r="G13" s="19">
        <v>1</v>
      </c>
      <c r="H13" s="20">
        <f t="shared" si="0"/>
        <v>414720</v>
      </c>
      <c r="I13" s="19">
        <v>1</v>
      </c>
      <c r="J13" s="20">
        <f t="shared" si="1"/>
        <v>72000</v>
      </c>
      <c r="K13" s="19">
        <f t="shared" si="2"/>
        <v>2</v>
      </c>
      <c r="L13" s="20">
        <f t="shared" si="2"/>
        <v>486720</v>
      </c>
    </row>
    <row r="14" spans="1:14" ht="36">
      <c r="A14" s="58" t="s">
        <v>105</v>
      </c>
      <c r="B14" s="78" t="s">
        <v>148</v>
      </c>
      <c r="C14" s="56">
        <v>2510987</v>
      </c>
      <c r="D14" s="57" t="s">
        <v>46</v>
      </c>
      <c r="E14" s="57" t="s">
        <v>46</v>
      </c>
      <c r="F14" s="23" t="s">
        <v>106</v>
      </c>
      <c r="G14" s="19">
        <v>1</v>
      </c>
      <c r="H14" s="20">
        <f t="shared" si="0"/>
        <v>414720</v>
      </c>
      <c r="I14" s="19">
        <v>1</v>
      </c>
      <c r="J14" s="20">
        <f t="shared" si="1"/>
        <v>72000</v>
      </c>
      <c r="K14" s="19">
        <f t="shared" si="2"/>
        <v>2</v>
      </c>
      <c r="L14" s="20">
        <f t="shared" si="2"/>
        <v>486720</v>
      </c>
    </row>
    <row r="15" spans="1:14" ht="24">
      <c r="A15" s="58" t="s">
        <v>107</v>
      </c>
      <c r="B15" s="78" t="s">
        <v>149</v>
      </c>
      <c r="C15" s="56">
        <v>2491060</v>
      </c>
      <c r="D15" s="57" t="s">
        <v>46</v>
      </c>
      <c r="E15" s="57" t="s">
        <v>46</v>
      </c>
      <c r="F15" s="23" t="s">
        <v>95</v>
      </c>
      <c r="G15" s="19">
        <v>1</v>
      </c>
      <c r="H15" s="20">
        <f t="shared" si="0"/>
        <v>414720</v>
      </c>
      <c r="I15" s="19">
        <v>1</v>
      </c>
      <c r="J15" s="20">
        <f t="shared" si="1"/>
        <v>72000</v>
      </c>
      <c r="K15" s="19">
        <f t="shared" si="2"/>
        <v>2</v>
      </c>
      <c r="L15" s="20">
        <f t="shared" si="2"/>
        <v>486720</v>
      </c>
    </row>
    <row r="16" spans="1:14" ht="24">
      <c r="A16" s="55" t="s">
        <v>108</v>
      </c>
      <c r="B16" s="80" t="s">
        <v>150</v>
      </c>
      <c r="C16" s="56">
        <v>6910769</v>
      </c>
      <c r="D16" s="57" t="s">
        <v>46</v>
      </c>
      <c r="E16" s="57" t="s">
        <v>46</v>
      </c>
      <c r="F16" s="23" t="s">
        <v>95</v>
      </c>
      <c r="G16" s="19">
        <v>1</v>
      </c>
      <c r="H16" s="20">
        <f t="shared" si="0"/>
        <v>414720</v>
      </c>
      <c r="I16" s="19">
        <v>1</v>
      </c>
      <c r="J16" s="20">
        <f t="shared" si="1"/>
        <v>72000</v>
      </c>
      <c r="K16" s="19">
        <f t="shared" si="2"/>
        <v>2</v>
      </c>
      <c r="L16" s="20">
        <f t="shared" si="2"/>
        <v>486720</v>
      </c>
    </row>
    <row r="17" spans="1:12">
      <c r="A17" s="213" t="s">
        <v>5</v>
      </c>
      <c r="B17" s="213"/>
      <c r="C17" s="213"/>
      <c r="D17" s="213"/>
      <c r="E17" s="213"/>
      <c r="F17" s="213"/>
      <c r="G17" s="10">
        <f t="shared" ref="G17:L17" si="3">SUM(G4:G16)</f>
        <v>11</v>
      </c>
      <c r="H17" s="9">
        <f t="shared" si="3"/>
        <v>4561920</v>
      </c>
      <c r="I17" s="10">
        <f t="shared" si="3"/>
        <v>8</v>
      </c>
      <c r="J17" s="9">
        <f t="shared" si="3"/>
        <v>576000</v>
      </c>
      <c r="K17" s="10">
        <f t="shared" si="3"/>
        <v>19</v>
      </c>
      <c r="L17" s="9">
        <f t="shared" si="3"/>
        <v>5137920</v>
      </c>
    </row>
  </sheetData>
  <protectedRanges>
    <protectedRange sqref="A4:F16" name="informações"/>
  </protectedRanges>
  <mergeCells count="12">
    <mergeCell ref="K2:L2"/>
    <mergeCell ref="A17:F17"/>
    <mergeCell ref="A1:F1"/>
    <mergeCell ref="G1:L1"/>
    <mergeCell ref="A2:A3"/>
    <mergeCell ref="B2:B3"/>
    <mergeCell ref="C2:C3"/>
    <mergeCell ref="D2:D3"/>
    <mergeCell ref="E2:E3"/>
    <mergeCell ref="F2:F3"/>
    <mergeCell ref="G2:H2"/>
    <mergeCell ref="I2:J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topLeftCell="B1" zoomScaleNormal="100" workbookViewId="0">
      <selection activeCell="B5" sqref="A5:IV6"/>
    </sheetView>
  </sheetViews>
  <sheetFormatPr defaultRowHeight="15"/>
  <cols>
    <col min="1" max="1" width="14.5703125" bestFit="1" customWidth="1"/>
    <col min="2" max="2" width="18.42578125" customWidth="1"/>
    <col min="3" max="3" width="23.5703125" customWidth="1"/>
    <col min="4" max="4" width="7" bestFit="1" customWidth="1"/>
    <col min="5" max="5" width="16.5703125" bestFit="1" customWidth="1"/>
    <col min="6" max="6" width="8.5703125" customWidth="1"/>
    <col min="7" max="9" width="15.140625" customWidth="1"/>
    <col min="10" max="10" width="7.140625" bestFit="1" customWidth="1"/>
    <col min="11" max="12" width="17" bestFit="1" customWidth="1"/>
  </cols>
  <sheetData>
    <row r="1" spans="1:12">
      <c r="A1" s="195" t="s">
        <v>7</v>
      </c>
      <c r="B1" s="196"/>
      <c r="C1" s="22"/>
      <c r="D1" s="22"/>
      <c r="E1" s="22"/>
      <c r="F1" s="200" t="s">
        <v>109</v>
      </c>
      <c r="G1" s="201"/>
      <c r="H1" s="201"/>
      <c r="I1" s="201"/>
      <c r="J1" s="201"/>
      <c r="K1" s="202"/>
      <c r="L1" s="215" t="s">
        <v>19</v>
      </c>
    </row>
    <row r="2" spans="1:12" ht="25.5" customHeight="1">
      <c r="A2" s="206" t="s">
        <v>0</v>
      </c>
      <c r="B2" s="208" t="s">
        <v>1</v>
      </c>
      <c r="C2" s="218" t="s">
        <v>87</v>
      </c>
      <c r="D2" s="218" t="s">
        <v>44</v>
      </c>
      <c r="E2" s="220" t="s">
        <v>3</v>
      </c>
      <c r="F2" s="212" t="s">
        <v>110</v>
      </c>
      <c r="G2" s="212"/>
      <c r="H2" s="212" t="s">
        <v>111</v>
      </c>
      <c r="I2" s="212"/>
      <c r="J2" s="212" t="s">
        <v>5</v>
      </c>
      <c r="K2" s="212"/>
      <c r="L2" s="215"/>
    </row>
    <row r="3" spans="1:12" ht="22.5">
      <c r="A3" s="207"/>
      <c r="B3" s="209"/>
      <c r="C3" s="219"/>
      <c r="D3" s="219"/>
      <c r="E3" s="221"/>
      <c r="F3" s="15" t="s">
        <v>18</v>
      </c>
      <c r="G3" s="16" t="s">
        <v>6</v>
      </c>
      <c r="H3" s="15" t="s">
        <v>18</v>
      </c>
      <c r="I3" s="16" t="s">
        <v>6</v>
      </c>
      <c r="J3" s="15" t="s">
        <v>18</v>
      </c>
      <c r="K3" s="16" t="s">
        <v>6</v>
      </c>
      <c r="L3" s="215"/>
    </row>
    <row r="4" spans="1:12" ht="36">
      <c r="A4" s="59" t="s">
        <v>48</v>
      </c>
      <c r="B4" s="59" t="s">
        <v>112</v>
      </c>
      <c r="C4" s="72" t="s">
        <v>113</v>
      </c>
      <c r="D4" s="60">
        <v>6318827</v>
      </c>
      <c r="E4" s="61" t="s">
        <v>46</v>
      </c>
      <c r="F4" s="17">
        <v>1</v>
      </c>
      <c r="G4" s="18">
        <f t="shared" ref="G4:G9" si="0">F4*25000*12</f>
        <v>300000</v>
      </c>
      <c r="H4" s="17">
        <v>0</v>
      </c>
      <c r="I4" s="18">
        <f t="shared" ref="I4:I9" si="1">H4*35000*12</f>
        <v>0</v>
      </c>
      <c r="J4" s="73">
        <f>H4+F4</f>
        <v>1</v>
      </c>
      <c r="K4" s="74">
        <f>I4+G4</f>
        <v>300000</v>
      </c>
      <c r="L4" s="75">
        <f t="shared" ref="L4:L9" si="2">K4</f>
        <v>300000</v>
      </c>
    </row>
    <row r="5" spans="1:12" ht="24">
      <c r="A5" s="216" t="s">
        <v>45</v>
      </c>
      <c r="B5" s="62" t="s">
        <v>114</v>
      </c>
      <c r="C5" s="72" t="s">
        <v>113</v>
      </c>
      <c r="D5" s="63">
        <v>5543940</v>
      </c>
      <c r="E5" s="61" t="s">
        <v>46</v>
      </c>
      <c r="F5" s="17">
        <v>1</v>
      </c>
      <c r="G5" s="18">
        <f t="shared" si="0"/>
        <v>300000</v>
      </c>
      <c r="H5" s="17">
        <v>0</v>
      </c>
      <c r="I5" s="18">
        <f t="shared" si="1"/>
        <v>0</v>
      </c>
      <c r="J5" s="73">
        <f t="shared" ref="J5:K9" si="3">H5+F5</f>
        <v>1</v>
      </c>
      <c r="K5" s="74">
        <f t="shared" si="3"/>
        <v>300000</v>
      </c>
      <c r="L5" s="75">
        <f t="shared" si="2"/>
        <v>300000</v>
      </c>
    </row>
    <row r="6" spans="1:12" ht="24">
      <c r="A6" s="217"/>
      <c r="B6" s="62" t="s">
        <v>115</v>
      </c>
      <c r="C6" s="72" t="s">
        <v>113</v>
      </c>
      <c r="D6" s="63">
        <v>6621252</v>
      </c>
      <c r="E6" s="61" t="s">
        <v>46</v>
      </c>
      <c r="F6" s="17">
        <v>1</v>
      </c>
      <c r="G6" s="18">
        <f t="shared" si="0"/>
        <v>300000</v>
      </c>
      <c r="H6" s="17">
        <v>0</v>
      </c>
      <c r="I6" s="18">
        <f t="shared" si="1"/>
        <v>0</v>
      </c>
      <c r="J6" s="73">
        <f t="shared" si="3"/>
        <v>1</v>
      </c>
      <c r="K6" s="74">
        <f t="shared" si="3"/>
        <v>300000</v>
      </c>
      <c r="L6" s="75">
        <f t="shared" si="2"/>
        <v>300000</v>
      </c>
    </row>
    <row r="7" spans="1:12" ht="24">
      <c r="A7" s="216" t="s">
        <v>51</v>
      </c>
      <c r="B7" s="64" t="s">
        <v>116</v>
      </c>
      <c r="C7" s="72" t="s">
        <v>117</v>
      </c>
      <c r="D7" s="63">
        <v>2663422</v>
      </c>
      <c r="E7" s="61" t="s">
        <v>118</v>
      </c>
      <c r="F7" s="17">
        <v>1</v>
      </c>
      <c r="G7" s="18">
        <f t="shared" si="0"/>
        <v>300000</v>
      </c>
      <c r="H7" s="17">
        <v>0</v>
      </c>
      <c r="I7" s="18">
        <f t="shared" si="1"/>
        <v>0</v>
      </c>
      <c r="J7" s="73">
        <f t="shared" si="3"/>
        <v>1</v>
      </c>
      <c r="K7" s="74">
        <f t="shared" si="3"/>
        <v>300000</v>
      </c>
      <c r="L7" s="75">
        <f t="shared" si="2"/>
        <v>300000</v>
      </c>
    </row>
    <row r="8" spans="1:12">
      <c r="A8" s="217"/>
      <c r="B8" s="65" t="s">
        <v>119</v>
      </c>
      <c r="C8" s="72" t="s">
        <v>120</v>
      </c>
      <c r="D8" s="63">
        <v>2379163</v>
      </c>
      <c r="E8" s="61" t="s">
        <v>47</v>
      </c>
      <c r="F8" s="17">
        <v>1</v>
      </c>
      <c r="G8" s="18">
        <f t="shared" si="0"/>
        <v>300000</v>
      </c>
      <c r="H8" s="17">
        <v>0</v>
      </c>
      <c r="I8" s="18">
        <f t="shared" si="1"/>
        <v>0</v>
      </c>
      <c r="J8" s="73">
        <f t="shared" si="3"/>
        <v>1</v>
      </c>
      <c r="K8" s="74">
        <f t="shared" si="3"/>
        <v>300000</v>
      </c>
      <c r="L8" s="75">
        <f t="shared" si="2"/>
        <v>300000</v>
      </c>
    </row>
    <row r="9" spans="1:12" ht="24">
      <c r="A9" s="59" t="s">
        <v>49</v>
      </c>
      <c r="B9" s="62" t="s">
        <v>121</v>
      </c>
      <c r="C9" s="72" t="s">
        <v>122</v>
      </c>
      <c r="D9" s="63">
        <v>2491311</v>
      </c>
      <c r="E9" s="61" t="s">
        <v>46</v>
      </c>
      <c r="F9" s="17">
        <v>1</v>
      </c>
      <c r="G9" s="18">
        <f t="shared" si="0"/>
        <v>300000</v>
      </c>
      <c r="H9" s="17">
        <v>0</v>
      </c>
      <c r="I9" s="18">
        <f t="shared" si="1"/>
        <v>0</v>
      </c>
      <c r="J9" s="73">
        <f t="shared" si="3"/>
        <v>1</v>
      </c>
      <c r="K9" s="74">
        <f t="shared" si="3"/>
        <v>300000</v>
      </c>
      <c r="L9" s="75">
        <f t="shared" si="2"/>
        <v>300000</v>
      </c>
    </row>
    <row r="10" spans="1:12">
      <c r="A10" s="213" t="s">
        <v>5</v>
      </c>
      <c r="B10" s="213"/>
      <c r="C10" s="21"/>
      <c r="D10" s="21"/>
      <c r="E10" s="21"/>
      <c r="F10" s="29">
        <f t="shared" ref="F10:L10" si="4">SUM(F4:F9)</f>
        <v>6</v>
      </c>
      <c r="G10" s="30">
        <f t="shared" si="4"/>
        <v>1800000</v>
      </c>
      <c r="H10" s="29">
        <f t="shared" si="4"/>
        <v>0</v>
      </c>
      <c r="I10" s="30">
        <f t="shared" si="4"/>
        <v>0</v>
      </c>
      <c r="J10" s="29">
        <f t="shared" si="4"/>
        <v>6</v>
      </c>
      <c r="K10" s="30">
        <f t="shared" si="4"/>
        <v>1800000</v>
      </c>
      <c r="L10" s="30">
        <f t="shared" si="4"/>
        <v>1800000</v>
      </c>
    </row>
    <row r="17" spans="11:11">
      <c r="K17" s="54"/>
    </row>
  </sheetData>
  <protectedRanges>
    <protectedRange sqref="A4:E9" name="informações"/>
  </protectedRanges>
  <mergeCells count="14">
    <mergeCell ref="L1:L3"/>
    <mergeCell ref="A2:A3"/>
    <mergeCell ref="B2:B3"/>
    <mergeCell ref="C2:C3"/>
    <mergeCell ref="D2:D3"/>
    <mergeCell ref="E2:E3"/>
    <mergeCell ref="F2:G2"/>
    <mergeCell ref="H2:I2"/>
    <mergeCell ref="J2:K2"/>
    <mergeCell ref="A5:A6"/>
    <mergeCell ref="A7:A8"/>
    <mergeCell ref="A10:B10"/>
    <mergeCell ref="A1:B1"/>
    <mergeCell ref="F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27"/>
  <sheetViews>
    <sheetView zoomScaleNormal="100" workbookViewId="0">
      <pane xSplit="5" ySplit="3" topLeftCell="BF4" activePane="bottomRight" state="frozen"/>
      <selection pane="topRight" activeCell="F1" sqref="F1"/>
      <selection pane="bottomLeft" activeCell="A4" sqref="A4"/>
      <selection pane="bottomRight" activeCell="BL2" sqref="BL2"/>
    </sheetView>
  </sheetViews>
  <sheetFormatPr defaultRowHeight="15"/>
  <cols>
    <col min="1" max="1" width="8.85546875" customWidth="1"/>
    <col min="2" max="2" width="16.28515625" customWidth="1"/>
    <col min="3" max="3" width="9" customWidth="1"/>
    <col min="4" max="4" width="22.28515625" customWidth="1"/>
    <col min="5" max="5" width="13.7109375" bestFit="1" customWidth="1"/>
    <col min="6" max="6" width="14.42578125" bestFit="1" customWidth="1"/>
    <col min="7" max="7" width="13.7109375" bestFit="1" customWidth="1"/>
    <col min="8" max="8" width="7.140625" bestFit="1" customWidth="1"/>
    <col min="9" max="9" width="11.140625" bestFit="1" customWidth="1"/>
    <col min="10" max="10" width="7.140625" bestFit="1" customWidth="1"/>
    <col min="11" max="11" width="11.140625" bestFit="1" customWidth="1"/>
    <col min="12" max="12" width="7.140625" bestFit="1" customWidth="1"/>
    <col min="13" max="13" width="14.28515625" bestFit="1" customWidth="1"/>
    <col min="14" max="14" width="12.85546875" customWidth="1"/>
    <col min="15" max="15" width="13.7109375" customWidth="1"/>
    <col min="16" max="16" width="11.85546875" customWidth="1"/>
    <col min="17" max="17" width="13.140625" customWidth="1"/>
    <col min="19" max="19" width="12.42578125" customWidth="1"/>
    <col min="20" max="20" width="7" customWidth="1"/>
    <col min="21" max="21" width="13.28515625" bestFit="1" customWidth="1"/>
    <col min="22" max="22" width="7.140625" bestFit="1" customWidth="1"/>
    <col min="23" max="23" width="12.42578125" customWidth="1"/>
    <col min="24" max="24" width="7.140625" bestFit="1" customWidth="1"/>
    <col min="25" max="25" width="12.42578125" customWidth="1"/>
    <col min="26" max="26" width="6.42578125" bestFit="1" customWidth="1"/>
    <col min="27" max="27" width="14.28515625" bestFit="1" customWidth="1"/>
    <col min="28" max="28" width="6.42578125" bestFit="1" customWidth="1"/>
    <col min="29" max="29" width="14.28515625" bestFit="1" customWidth="1"/>
    <col min="30" max="30" width="6" bestFit="1" customWidth="1"/>
    <col min="31" max="31" width="14.28515625" bestFit="1" customWidth="1"/>
    <col min="32" max="32" width="11.7109375" bestFit="1" customWidth="1"/>
    <col min="33" max="33" width="14.5703125" customWidth="1"/>
    <col min="34" max="34" width="6.42578125" bestFit="1" customWidth="1"/>
    <col min="35" max="35" width="10" bestFit="1" customWidth="1"/>
    <col min="36" max="36" width="6" bestFit="1" customWidth="1"/>
    <col min="37" max="37" width="10" bestFit="1" customWidth="1"/>
    <col min="38" max="38" width="11" customWidth="1"/>
    <col min="39" max="39" width="14.7109375" customWidth="1"/>
    <col min="40" max="43" width="10" customWidth="1"/>
    <col min="44" max="44" width="11" customWidth="1"/>
    <col min="45" max="45" width="13.28515625" customWidth="1"/>
    <col min="46" max="47" width="10" customWidth="1"/>
    <col min="48" max="48" width="6" bestFit="1" customWidth="1"/>
    <col min="49" max="49" width="10" bestFit="1" customWidth="1"/>
    <col min="50" max="51" width="10" customWidth="1"/>
    <col min="52" max="52" width="7.85546875" customWidth="1"/>
    <col min="53" max="53" width="10" bestFit="1" customWidth="1"/>
    <col min="54" max="54" width="10" customWidth="1"/>
    <col min="55" max="55" width="11.140625" bestFit="1" customWidth="1"/>
    <col min="56" max="56" width="6" bestFit="1" customWidth="1"/>
    <col min="57" max="57" width="11.140625" bestFit="1" customWidth="1"/>
    <col min="58" max="61" width="11.140625" customWidth="1"/>
    <col min="62" max="62" width="17" bestFit="1" customWidth="1"/>
    <col min="64" max="64" width="14.28515625" bestFit="1" customWidth="1"/>
    <col min="65" max="65" width="12.42578125" bestFit="1" customWidth="1"/>
  </cols>
  <sheetData>
    <row r="1" spans="1:65" ht="30" customHeight="1">
      <c r="A1" s="195" t="s">
        <v>7</v>
      </c>
      <c r="B1" s="196"/>
      <c r="C1" s="196"/>
      <c r="D1" s="196"/>
      <c r="E1" s="196"/>
      <c r="F1" s="196"/>
      <c r="G1" s="214"/>
      <c r="H1" s="200" t="s">
        <v>37</v>
      </c>
      <c r="I1" s="201"/>
      <c r="J1" s="201"/>
      <c r="K1" s="201"/>
      <c r="L1" s="201"/>
      <c r="M1" s="201"/>
      <c r="N1" s="201"/>
      <c r="O1" s="202"/>
      <c r="P1" s="197" t="s">
        <v>21</v>
      </c>
      <c r="Q1" s="198"/>
      <c r="R1" s="198"/>
      <c r="S1" s="198"/>
      <c r="T1" s="198"/>
      <c r="U1" s="199"/>
      <c r="V1" s="200" t="s">
        <v>24</v>
      </c>
      <c r="W1" s="201"/>
      <c r="X1" s="201"/>
      <c r="Y1" s="201"/>
      <c r="Z1" s="197" t="s">
        <v>25</v>
      </c>
      <c r="AA1" s="198"/>
      <c r="AB1" s="198"/>
      <c r="AC1" s="198"/>
      <c r="AD1" s="198"/>
      <c r="AE1" s="199"/>
      <c r="AF1" s="200" t="s">
        <v>26</v>
      </c>
      <c r="AG1" s="201"/>
      <c r="AH1" s="201"/>
      <c r="AI1" s="201"/>
      <c r="AJ1" s="201"/>
      <c r="AK1" s="202"/>
      <c r="AL1" s="197" t="s">
        <v>27</v>
      </c>
      <c r="AM1" s="198"/>
      <c r="AN1" s="198"/>
      <c r="AO1" s="198"/>
      <c r="AP1" s="198"/>
      <c r="AQ1" s="199"/>
      <c r="AR1" s="200" t="s">
        <v>28</v>
      </c>
      <c r="AS1" s="201"/>
      <c r="AT1" s="201"/>
      <c r="AU1" s="201"/>
      <c r="AV1" s="201"/>
      <c r="AW1" s="202"/>
      <c r="AX1" s="197" t="s">
        <v>41</v>
      </c>
      <c r="AY1" s="198"/>
      <c r="AZ1" s="198"/>
      <c r="BA1" s="198"/>
      <c r="BB1" s="200" t="s">
        <v>43</v>
      </c>
      <c r="BC1" s="201"/>
      <c r="BD1" s="201"/>
      <c r="BE1" s="201"/>
      <c r="BF1" s="197" t="s">
        <v>86</v>
      </c>
      <c r="BG1" s="198"/>
      <c r="BH1" s="198"/>
      <c r="BI1" s="198"/>
      <c r="BJ1" s="222" t="s">
        <v>19</v>
      </c>
    </row>
    <row r="2" spans="1:65" ht="36.75" customHeight="1">
      <c r="A2" s="206" t="s">
        <v>0</v>
      </c>
      <c r="B2" s="208" t="s">
        <v>1</v>
      </c>
      <c r="C2" s="206" t="s">
        <v>44</v>
      </c>
      <c r="D2" s="206" t="s">
        <v>2</v>
      </c>
      <c r="E2" s="206" t="s">
        <v>4</v>
      </c>
      <c r="F2" s="206" t="s">
        <v>2</v>
      </c>
      <c r="G2" s="206" t="s">
        <v>3</v>
      </c>
      <c r="H2" s="212" t="s">
        <v>38</v>
      </c>
      <c r="I2" s="212"/>
      <c r="J2" s="212" t="s">
        <v>39</v>
      </c>
      <c r="K2" s="212"/>
      <c r="L2" s="212" t="s">
        <v>40</v>
      </c>
      <c r="M2" s="212"/>
      <c r="N2" s="230" t="s">
        <v>5</v>
      </c>
      <c r="O2" s="231"/>
      <c r="P2" s="210" t="s">
        <v>22</v>
      </c>
      <c r="Q2" s="211"/>
      <c r="R2" s="210" t="s">
        <v>23</v>
      </c>
      <c r="S2" s="211"/>
      <c r="T2" s="210" t="s">
        <v>5</v>
      </c>
      <c r="U2" s="211"/>
      <c r="V2" s="212" t="s">
        <v>22</v>
      </c>
      <c r="W2" s="212"/>
      <c r="X2" s="212" t="s">
        <v>5</v>
      </c>
      <c r="Y2" s="212"/>
      <c r="Z2" s="210" t="s">
        <v>22</v>
      </c>
      <c r="AA2" s="211"/>
      <c r="AB2" s="210" t="s">
        <v>20</v>
      </c>
      <c r="AC2" s="211"/>
      <c r="AD2" s="210" t="s">
        <v>5</v>
      </c>
      <c r="AE2" s="211"/>
      <c r="AF2" s="212" t="s">
        <v>22</v>
      </c>
      <c r="AG2" s="212"/>
      <c r="AH2" s="212" t="s">
        <v>20</v>
      </c>
      <c r="AI2" s="212"/>
      <c r="AJ2" s="212" t="s">
        <v>5</v>
      </c>
      <c r="AK2" s="212"/>
      <c r="AL2" s="210" t="s">
        <v>22</v>
      </c>
      <c r="AM2" s="211"/>
      <c r="AN2" s="210" t="s">
        <v>20</v>
      </c>
      <c r="AO2" s="211"/>
      <c r="AP2" s="210" t="s">
        <v>5</v>
      </c>
      <c r="AQ2" s="211"/>
      <c r="AR2" s="212" t="s">
        <v>22</v>
      </c>
      <c r="AS2" s="212"/>
      <c r="AT2" s="212" t="s">
        <v>20</v>
      </c>
      <c r="AU2" s="212"/>
      <c r="AV2" s="212" t="s">
        <v>5</v>
      </c>
      <c r="AW2" s="212"/>
      <c r="AX2" s="210" t="s">
        <v>42</v>
      </c>
      <c r="AY2" s="211"/>
      <c r="AZ2" s="210" t="s">
        <v>5</v>
      </c>
      <c r="BA2" s="211"/>
      <c r="BB2" s="212" t="s">
        <v>42</v>
      </c>
      <c r="BC2" s="212"/>
      <c r="BD2" s="212" t="s">
        <v>5</v>
      </c>
      <c r="BE2" s="212"/>
      <c r="BF2" s="210" t="s">
        <v>42</v>
      </c>
      <c r="BG2" s="211"/>
      <c r="BH2" s="210" t="s">
        <v>5</v>
      </c>
      <c r="BI2" s="211"/>
      <c r="BJ2" s="223"/>
      <c r="BL2" s="77"/>
    </row>
    <row r="3" spans="1:65" ht="22.5" customHeight="1">
      <c r="A3" s="226"/>
      <c r="B3" s="227"/>
      <c r="C3" s="226"/>
      <c r="D3" s="226"/>
      <c r="E3" s="226"/>
      <c r="F3" s="226"/>
      <c r="G3" s="226"/>
      <c r="H3" s="15" t="s">
        <v>18</v>
      </c>
      <c r="I3" s="16" t="s">
        <v>6</v>
      </c>
      <c r="J3" s="15" t="s">
        <v>18</v>
      </c>
      <c r="K3" s="16" t="s">
        <v>6</v>
      </c>
      <c r="L3" s="15" t="s">
        <v>18</v>
      </c>
      <c r="M3" s="16" t="s">
        <v>6</v>
      </c>
      <c r="N3" s="15" t="s">
        <v>9</v>
      </c>
      <c r="O3" s="16" t="s">
        <v>6</v>
      </c>
      <c r="P3" s="11" t="s">
        <v>18</v>
      </c>
      <c r="Q3" s="12" t="s">
        <v>6</v>
      </c>
      <c r="R3" s="11" t="s">
        <v>18</v>
      </c>
      <c r="S3" s="12" t="s">
        <v>6</v>
      </c>
      <c r="T3" s="13" t="s">
        <v>9</v>
      </c>
      <c r="U3" s="14" t="s">
        <v>6</v>
      </c>
      <c r="V3" s="15" t="s">
        <v>18</v>
      </c>
      <c r="W3" s="16" t="s">
        <v>6</v>
      </c>
      <c r="X3" s="15" t="s">
        <v>9</v>
      </c>
      <c r="Y3" s="16" t="s">
        <v>6</v>
      </c>
      <c r="Z3" s="11" t="s">
        <v>18</v>
      </c>
      <c r="AA3" s="12" t="s">
        <v>6</v>
      </c>
      <c r="AB3" s="11" t="s">
        <v>18</v>
      </c>
      <c r="AC3" s="12" t="s">
        <v>6</v>
      </c>
      <c r="AD3" s="13" t="s">
        <v>9</v>
      </c>
      <c r="AE3" s="14" t="s">
        <v>6</v>
      </c>
      <c r="AF3" s="15" t="s">
        <v>18</v>
      </c>
      <c r="AG3" s="16" t="s">
        <v>6</v>
      </c>
      <c r="AH3" s="15" t="s">
        <v>18</v>
      </c>
      <c r="AI3" s="16" t="s">
        <v>6</v>
      </c>
      <c r="AJ3" s="15" t="s">
        <v>9</v>
      </c>
      <c r="AK3" s="16" t="s">
        <v>6</v>
      </c>
      <c r="AL3" s="11" t="s">
        <v>18</v>
      </c>
      <c r="AM3" s="12" t="s">
        <v>6</v>
      </c>
      <c r="AN3" s="11" t="s">
        <v>18</v>
      </c>
      <c r="AO3" s="12" t="s">
        <v>6</v>
      </c>
      <c r="AP3" s="13" t="s">
        <v>9</v>
      </c>
      <c r="AQ3" s="14" t="s">
        <v>6</v>
      </c>
      <c r="AR3" s="15" t="s">
        <v>18</v>
      </c>
      <c r="AS3" s="16" t="s">
        <v>6</v>
      </c>
      <c r="AT3" s="15" t="s">
        <v>18</v>
      </c>
      <c r="AU3" s="16" t="s">
        <v>6</v>
      </c>
      <c r="AV3" s="15" t="s">
        <v>9</v>
      </c>
      <c r="AW3" s="16" t="s">
        <v>6</v>
      </c>
      <c r="AX3" s="11" t="s">
        <v>18</v>
      </c>
      <c r="AY3" s="12" t="s">
        <v>6</v>
      </c>
      <c r="AZ3" s="11" t="s">
        <v>9</v>
      </c>
      <c r="BA3" s="12" t="s">
        <v>6</v>
      </c>
      <c r="BB3" s="15" t="s">
        <v>18</v>
      </c>
      <c r="BC3" s="16" t="s">
        <v>6</v>
      </c>
      <c r="BD3" s="15" t="s">
        <v>9</v>
      </c>
      <c r="BE3" s="16" t="s">
        <v>6</v>
      </c>
      <c r="BF3" s="12" t="s">
        <v>18</v>
      </c>
      <c r="BG3" s="12" t="s">
        <v>6</v>
      </c>
      <c r="BH3" s="12" t="s">
        <v>9</v>
      </c>
      <c r="BI3" s="12" t="s">
        <v>6</v>
      </c>
      <c r="BJ3" s="224"/>
    </row>
    <row r="4" spans="1:65" ht="36">
      <c r="A4" s="228" t="s">
        <v>52</v>
      </c>
      <c r="B4" s="32" t="s">
        <v>53</v>
      </c>
      <c r="C4" s="33">
        <v>2436469</v>
      </c>
      <c r="D4" s="28" t="s">
        <v>54</v>
      </c>
      <c r="E4" s="25" t="s">
        <v>55</v>
      </c>
      <c r="F4" s="24" t="s">
        <v>56</v>
      </c>
      <c r="G4" s="24" t="s">
        <v>56</v>
      </c>
      <c r="H4" s="26">
        <v>0</v>
      </c>
      <c r="I4" s="18">
        <f>H4*100000*12</f>
        <v>0</v>
      </c>
      <c r="J4" s="17">
        <v>0</v>
      </c>
      <c r="K4" s="18">
        <f>J4*200000*12</f>
        <v>0</v>
      </c>
      <c r="L4" s="17">
        <v>1</v>
      </c>
      <c r="M4" s="18">
        <f>L4*300000*12</f>
        <v>3600000</v>
      </c>
      <c r="N4" s="17">
        <f>SUM(H4+J4+L4)</f>
        <v>1</v>
      </c>
      <c r="O4" s="18">
        <f>SUM(I4+K4+M4)</f>
        <v>3600000</v>
      </c>
      <c r="P4" s="19">
        <v>0</v>
      </c>
      <c r="Q4" s="20">
        <f>P4*365*300*0.85</f>
        <v>0</v>
      </c>
      <c r="R4" s="19">
        <v>0</v>
      </c>
      <c r="S4" s="20">
        <f>R4*365*(300-100)*0.85</f>
        <v>0</v>
      </c>
      <c r="T4" s="19">
        <f>SUM(P4+R4)</f>
        <v>0</v>
      </c>
      <c r="U4" s="20">
        <f>Q4+S4</f>
        <v>0</v>
      </c>
      <c r="V4" s="17">
        <v>0</v>
      </c>
      <c r="W4" s="18">
        <f>V4*(73*100*0.85+292*200*0.85)</f>
        <v>0</v>
      </c>
      <c r="X4" s="17">
        <f>V4</f>
        <v>0</v>
      </c>
      <c r="Y4" s="18">
        <f>W4</f>
        <v>0</v>
      </c>
      <c r="Z4" s="19">
        <v>26</v>
      </c>
      <c r="AA4" s="20">
        <f>Z4*800*365*0.9</f>
        <v>6832800</v>
      </c>
      <c r="AB4" s="19">
        <v>11</v>
      </c>
      <c r="AC4" s="20">
        <f>AB4*(800-478.72)*365*0.9</f>
        <v>1160945.28</v>
      </c>
      <c r="AD4" s="19">
        <f>SUM(Z4+AB4)</f>
        <v>37</v>
      </c>
      <c r="AE4" s="20">
        <f>(AA4+AC4)</f>
        <v>7993745.2800000003</v>
      </c>
      <c r="AF4" s="17">
        <v>0</v>
      </c>
      <c r="AG4" s="18">
        <f>AF4*800*365*0.9</f>
        <v>0</v>
      </c>
      <c r="AH4" s="17">
        <v>0</v>
      </c>
      <c r="AI4" s="18">
        <f>AH4*(800-508.63)*365*0.9</f>
        <v>0</v>
      </c>
      <c r="AJ4" s="17">
        <f>SUM(AF4+AH4)</f>
        <v>0</v>
      </c>
      <c r="AK4" s="18">
        <f>SUM(AG4+AI4)</f>
        <v>0</v>
      </c>
      <c r="AL4" s="19">
        <v>0</v>
      </c>
      <c r="AM4" s="20">
        <f>AL4*800*365*0.9</f>
        <v>0</v>
      </c>
      <c r="AN4" s="19">
        <v>0</v>
      </c>
      <c r="AO4" s="20">
        <f>AN4*(800-478.72)*365*0.9</f>
        <v>0</v>
      </c>
      <c r="AP4" s="19">
        <f>SUM(AL4+AN4)</f>
        <v>0</v>
      </c>
      <c r="AQ4" s="20">
        <f>SUM(AM4+AO4)</f>
        <v>0</v>
      </c>
      <c r="AR4" s="17">
        <v>0</v>
      </c>
      <c r="AS4" s="18">
        <f>AR4*800*365*0.9</f>
        <v>0</v>
      </c>
      <c r="AT4" s="17">
        <v>0</v>
      </c>
      <c r="AU4" s="18">
        <f>AT4*(800-508.63)*365*0.9</f>
        <v>0</v>
      </c>
      <c r="AV4" s="17">
        <f>SUM(AR4+AT4)</f>
        <v>0</v>
      </c>
      <c r="AW4" s="18">
        <f>SUM(AS4+AU4)</f>
        <v>0</v>
      </c>
      <c r="AX4" s="19">
        <v>0</v>
      </c>
      <c r="AY4" s="20">
        <f>AX4*350*365*0.9</f>
        <v>0</v>
      </c>
      <c r="AZ4" s="19">
        <f>AX4</f>
        <v>0</v>
      </c>
      <c r="BA4" s="20">
        <f>AY4</f>
        <v>0</v>
      </c>
      <c r="BB4" s="17">
        <v>11</v>
      </c>
      <c r="BC4" s="18">
        <f>BB4*350*365*0.85</f>
        <v>1194462.5</v>
      </c>
      <c r="BD4" s="17">
        <f>BB4</f>
        <v>11</v>
      </c>
      <c r="BE4" s="18">
        <f>BC4</f>
        <v>1194462.5</v>
      </c>
      <c r="BF4" s="36">
        <v>0</v>
      </c>
      <c r="BG4" s="35">
        <f>BF4*365*800*0.9</f>
        <v>0</v>
      </c>
      <c r="BH4" s="36">
        <f>BF4</f>
        <v>0</v>
      </c>
      <c r="BI4" s="35">
        <f>BG4</f>
        <v>0</v>
      </c>
      <c r="BJ4" s="5">
        <f>SUM(O4+U4+Y4+AE4+AK4+AQ4+AW4+BA4+BE4+BI4)</f>
        <v>12788207.780000001</v>
      </c>
      <c r="BL4" s="77">
        <f>SUM(O4+U4+Y4+AE4+AK4+AQ4+AW4+BA4+BE4+BI4)</f>
        <v>12788207.780000001</v>
      </c>
      <c r="BM4" t="b">
        <f>BJ4=BL4</f>
        <v>1</v>
      </c>
    </row>
    <row r="5" spans="1:65" ht="48">
      <c r="A5" s="228"/>
      <c r="B5" s="32" t="s">
        <v>53</v>
      </c>
      <c r="C5" s="33">
        <v>6048692</v>
      </c>
      <c r="D5" s="28" t="s">
        <v>57</v>
      </c>
      <c r="E5" s="25" t="s">
        <v>58</v>
      </c>
      <c r="F5" s="32" t="s">
        <v>59</v>
      </c>
      <c r="G5" s="31" t="s">
        <v>56</v>
      </c>
      <c r="H5" s="26">
        <v>0</v>
      </c>
      <c r="I5" s="18">
        <f t="shared" ref="I5:I17" si="0">H5*100000*12</f>
        <v>0</v>
      </c>
      <c r="J5" s="17">
        <v>1</v>
      </c>
      <c r="K5" s="18">
        <f t="shared" ref="K5:K17" si="1">J5*200000*12</f>
        <v>2400000</v>
      </c>
      <c r="L5" s="17">
        <v>0</v>
      </c>
      <c r="M5" s="18">
        <f t="shared" ref="M5:M17" si="2">L5*300000*12</f>
        <v>0</v>
      </c>
      <c r="N5" s="17">
        <f t="shared" ref="N5:N17" si="3">SUM(H5+J5+L5)</f>
        <v>1</v>
      </c>
      <c r="O5" s="18">
        <f t="shared" ref="O5:O17" si="4">SUM(I5+K5+M5)</f>
        <v>2400000</v>
      </c>
      <c r="P5" s="19">
        <v>0</v>
      </c>
      <c r="Q5" s="20">
        <f t="shared" ref="Q5:Q17" si="5">P5*365*300*0.85</f>
        <v>0</v>
      </c>
      <c r="R5" s="19">
        <v>0</v>
      </c>
      <c r="S5" s="20">
        <f t="shared" ref="S5:S17" si="6">R5*365*(300-100)*0.85</f>
        <v>0</v>
      </c>
      <c r="T5" s="19">
        <f t="shared" ref="T5:T17" si="7">SUM(P5+R5)</f>
        <v>0</v>
      </c>
      <c r="U5" s="20">
        <f t="shared" ref="U5:U17" si="8">Q5+S5</f>
        <v>0</v>
      </c>
      <c r="V5" s="17">
        <v>0</v>
      </c>
      <c r="W5" s="18">
        <f t="shared" ref="W5:W17" si="9">V5*(73*100*0.85+292*200*0.85)</f>
        <v>0</v>
      </c>
      <c r="X5" s="17">
        <f t="shared" ref="X5:X17" si="10">V5</f>
        <v>0</v>
      </c>
      <c r="Y5" s="18">
        <f t="shared" ref="Y5:Y17" si="11">W5</f>
        <v>0</v>
      </c>
      <c r="Z5" s="19">
        <v>0</v>
      </c>
      <c r="AA5" s="20">
        <f t="shared" ref="AA5:AA17" si="12">Z5*800*365*0.9</f>
        <v>0</v>
      </c>
      <c r="AB5" s="19">
        <v>0</v>
      </c>
      <c r="AC5" s="20">
        <f t="shared" ref="AC5:AC17" si="13">AB5*(800-478.72)*365*0.9</f>
        <v>0</v>
      </c>
      <c r="AD5" s="19">
        <f t="shared" ref="AD5:AD17" si="14">SUM(Z5+AB5)</f>
        <v>0</v>
      </c>
      <c r="AE5" s="20">
        <f t="shared" ref="AE5:AE17" si="15">(AA5+AC5)</f>
        <v>0</v>
      </c>
      <c r="AF5" s="17">
        <v>0</v>
      </c>
      <c r="AG5" s="18">
        <f t="shared" ref="AG5:AG17" si="16">AF5*800*365*0.9</f>
        <v>0</v>
      </c>
      <c r="AH5" s="17">
        <v>0</v>
      </c>
      <c r="AI5" s="18">
        <f t="shared" ref="AI5:AI17" si="17">AH5*(800-508.63)*365*0.9</f>
        <v>0</v>
      </c>
      <c r="AJ5" s="17">
        <f t="shared" ref="AJ5:AJ17" si="18">SUM(AF5+AH5)</f>
        <v>0</v>
      </c>
      <c r="AK5" s="18">
        <f t="shared" ref="AK5:AK17" si="19">SUM(AG5+AI5)</f>
        <v>0</v>
      </c>
      <c r="AL5" s="19">
        <v>0</v>
      </c>
      <c r="AM5" s="20">
        <f t="shared" ref="AM5:AM17" si="20">AL5*800*365*0.9</f>
        <v>0</v>
      </c>
      <c r="AN5" s="19">
        <v>8</v>
      </c>
      <c r="AO5" s="20">
        <f t="shared" ref="AO5:AO17" si="21">AN5*(800-478.72)*365*0.9</f>
        <v>844323.83999999997</v>
      </c>
      <c r="AP5" s="19">
        <f t="shared" ref="AP5:AP17" si="22">SUM(AL5+AN5)</f>
        <v>8</v>
      </c>
      <c r="AQ5" s="20">
        <f t="shared" ref="AQ5:AQ17" si="23">SUM(AM5+AO5)</f>
        <v>844323.83999999997</v>
      </c>
      <c r="AR5" s="17">
        <v>0</v>
      </c>
      <c r="AS5" s="18">
        <f t="shared" ref="AS5:AS17" si="24">AR5*800*365*0.9</f>
        <v>0</v>
      </c>
      <c r="AT5" s="17">
        <v>0</v>
      </c>
      <c r="AU5" s="18">
        <f t="shared" ref="AU5:AU17" si="25">AT5*(800-508.63)*365*0.9</f>
        <v>0</v>
      </c>
      <c r="AV5" s="17">
        <f t="shared" ref="AV5:AV17" si="26">SUM(AR5+AT5)</f>
        <v>0</v>
      </c>
      <c r="AW5" s="18">
        <f t="shared" ref="AW5:AW17" si="27">SUM(AS5+AU5)</f>
        <v>0</v>
      </c>
      <c r="AX5" s="19">
        <v>0</v>
      </c>
      <c r="AY5" s="20">
        <f t="shared" ref="AY5:AY17" si="28">AX5*350*365*0.9</f>
        <v>0</v>
      </c>
      <c r="AZ5" s="19">
        <f t="shared" ref="AZ5:AZ17" si="29">AX5</f>
        <v>0</v>
      </c>
      <c r="BA5" s="20">
        <f t="shared" ref="BA5:BA17" si="30">AY5</f>
        <v>0</v>
      </c>
      <c r="BB5" s="17">
        <v>0</v>
      </c>
      <c r="BC5" s="18">
        <f t="shared" ref="BC5:BC17" si="31">BB5*350*365*0.85</f>
        <v>0</v>
      </c>
      <c r="BD5" s="17">
        <f t="shared" ref="BD5:BD17" si="32">BB5</f>
        <v>0</v>
      </c>
      <c r="BE5" s="18">
        <f t="shared" ref="BE5:BE17" si="33">BC5</f>
        <v>0</v>
      </c>
      <c r="BF5" s="36">
        <v>0</v>
      </c>
      <c r="BG5" s="35">
        <f t="shared" ref="BG5:BG17" si="34">BF5*365*800*0.9</f>
        <v>0</v>
      </c>
      <c r="BH5" s="36">
        <f t="shared" ref="BH5:BH17" si="35">BF5</f>
        <v>0</v>
      </c>
      <c r="BI5" s="35">
        <f t="shared" ref="BI5:BI17" si="36">BG5</f>
        <v>0</v>
      </c>
      <c r="BJ5" s="5">
        <f t="shared" ref="BJ5:BJ17" si="37">SUM(O5+U5+Y5+AE5+AK5+AQ5+AW5+BA5+BE5+BI5)</f>
        <v>3244323.84</v>
      </c>
      <c r="BL5" s="77">
        <f t="shared" ref="BL5:BL17" si="38">SUM(O5+U5+Y5+AE5+AK5+AQ5+AW5+BA5+BE5+BI5)</f>
        <v>3244323.84</v>
      </c>
      <c r="BM5" t="b">
        <f t="shared" ref="BM5:BM18" si="39">BJ5=BL5</f>
        <v>1</v>
      </c>
    </row>
    <row r="6" spans="1:65" ht="36">
      <c r="A6" s="228"/>
      <c r="B6" s="32" t="s">
        <v>53</v>
      </c>
      <c r="C6" s="33">
        <v>2436450</v>
      </c>
      <c r="D6" s="27" t="s">
        <v>60</v>
      </c>
      <c r="E6" s="25" t="s">
        <v>61</v>
      </c>
      <c r="F6" s="24" t="s">
        <v>62</v>
      </c>
      <c r="G6" s="24" t="s">
        <v>56</v>
      </c>
      <c r="H6" s="26">
        <v>0</v>
      </c>
      <c r="I6" s="18">
        <f t="shared" si="0"/>
        <v>0</v>
      </c>
      <c r="J6" s="17">
        <v>0</v>
      </c>
      <c r="K6" s="18">
        <f t="shared" si="1"/>
        <v>0</v>
      </c>
      <c r="L6" s="17">
        <v>1</v>
      </c>
      <c r="M6" s="18">
        <f t="shared" si="2"/>
        <v>3600000</v>
      </c>
      <c r="N6" s="17">
        <f t="shared" si="3"/>
        <v>1</v>
      </c>
      <c r="O6" s="18">
        <f t="shared" si="4"/>
        <v>3600000</v>
      </c>
      <c r="P6" s="19">
        <v>0</v>
      </c>
      <c r="Q6" s="20">
        <f t="shared" si="5"/>
        <v>0</v>
      </c>
      <c r="R6" s="19">
        <v>0</v>
      </c>
      <c r="S6" s="20">
        <f t="shared" si="6"/>
        <v>0</v>
      </c>
      <c r="T6" s="19">
        <f t="shared" si="7"/>
        <v>0</v>
      </c>
      <c r="U6" s="20">
        <f t="shared" si="8"/>
        <v>0</v>
      </c>
      <c r="V6" s="17">
        <v>0</v>
      </c>
      <c r="W6" s="18">
        <f t="shared" si="9"/>
        <v>0</v>
      </c>
      <c r="X6" s="17">
        <f t="shared" si="10"/>
        <v>0</v>
      </c>
      <c r="Y6" s="18">
        <f t="shared" si="11"/>
        <v>0</v>
      </c>
      <c r="Z6" s="19">
        <v>10</v>
      </c>
      <c r="AA6" s="20">
        <f t="shared" si="12"/>
        <v>2628000</v>
      </c>
      <c r="AB6" s="19">
        <v>16</v>
      </c>
      <c r="AC6" s="20">
        <f t="shared" si="13"/>
        <v>1688647.6799999999</v>
      </c>
      <c r="AD6" s="19">
        <f t="shared" si="14"/>
        <v>26</v>
      </c>
      <c r="AE6" s="20">
        <f t="shared" si="15"/>
        <v>4316647.68</v>
      </c>
      <c r="AF6" s="17">
        <v>0</v>
      </c>
      <c r="AG6" s="18">
        <f t="shared" si="16"/>
        <v>0</v>
      </c>
      <c r="AH6" s="17">
        <v>0</v>
      </c>
      <c r="AI6" s="18">
        <f t="shared" si="17"/>
        <v>0</v>
      </c>
      <c r="AJ6" s="17">
        <f t="shared" si="18"/>
        <v>0</v>
      </c>
      <c r="AK6" s="18">
        <f t="shared" si="19"/>
        <v>0</v>
      </c>
      <c r="AL6" s="19">
        <v>0</v>
      </c>
      <c r="AM6" s="20">
        <f t="shared" si="20"/>
        <v>0</v>
      </c>
      <c r="AN6" s="19">
        <v>0</v>
      </c>
      <c r="AO6" s="20">
        <f t="shared" si="21"/>
        <v>0</v>
      </c>
      <c r="AP6" s="19">
        <f t="shared" si="22"/>
        <v>0</v>
      </c>
      <c r="AQ6" s="20">
        <f t="shared" si="23"/>
        <v>0</v>
      </c>
      <c r="AR6" s="17">
        <v>0</v>
      </c>
      <c r="AS6" s="18">
        <f t="shared" si="24"/>
        <v>0</v>
      </c>
      <c r="AT6" s="17">
        <v>0</v>
      </c>
      <c r="AU6" s="18">
        <f t="shared" si="25"/>
        <v>0</v>
      </c>
      <c r="AV6" s="17">
        <f t="shared" si="26"/>
        <v>0</v>
      </c>
      <c r="AW6" s="18">
        <f t="shared" si="27"/>
        <v>0</v>
      </c>
      <c r="AX6" s="19">
        <v>0</v>
      </c>
      <c r="AY6" s="20">
        <f t="shared" si="28"/>
        <v>0</v>
      </c>
      <c r="AZ6" s="19">
        <f t="shared" si="29"/>
        <v>0</v>
      </c>
      <c r="BA6" s="20">
        <f t="shared" si="30"/>
        <v>0</v>
      </c>
      <c r="BB6" s="17">
        <v>0</v>
      </c>
      <c r="BC6" s="18">
        <f t="shared" si="31"/>
        <v>0</v>
      </c>
      <c r="BD6" s="17">
        <f t="shared" si="32"/>
        <v>0</v>
      </c>
      <c r="BE6" s="18">
        <f t="shared" si="33"/>
        <v>0</v>
      </c>
      <c r="BF6" s="36">
        <v>10</v>
      </c>
      <c r="BG6" s="35">
        <f t="shared" si="34"/>
        <v>2628000</v>
      </c>
      <c r="BH6" s="36">
        <f t="shared" si="35"/>
        <v>10</v>
      </c>
      <c r="BI6" s="35">
        <f t="shared" si="36"/>
        <v>2628000</v>
      </c>
      <c r="BJ6" s="5">
        <f t="shared" si="37"/>
        <v>10544647.68</v>
      </c>
      <c r="BL6" s="77">
        <f t="shared" si="38"/>
        <v>10544647.68</v>
      </c>
      <c r="BM6" t="b">
        <f t="shared" si="39"/>
        <v>1</v>
      </c>
    </row>
    <row r="7" spans="1:65" ht="48">
      <c r="A7" s="228"/>
      <c r="B7" s="33" t="s">
        <v>53</v>
      </c>
      <c r="C7" s="24">
        <v>2521296</v>
      </c>
      <c r="D7" s="25" t="s">
        <v>63</v>
      </c>
      <c r="E7" s="25" t="s">
        <v>58</v>
      </c>
      <c r="F7" s="24" t="s">
        <v>59</v>
      </c>
      <c r="G7" s="24" t="s">
        <v>56</v>
      </c>
      <c r="H7" s="26">
        <v>0</v>
      </c>
      <c r="I7" s="18">
        <f t="shared" si="0"/>
        <v>0</v>
      </c>
      <c r="J7" s="17">
        <v>0</v>
      </c>
      <c r="K7" s="18">
        <f t="shared" si="1"/>
        <v>0</v>
      </c>
      <c r="L7" s="17">
        <v>0</v>
      </c>
      <c r="M7" s="18">
        <f t="shared" si="2"/>
        <v>0</v>
      </c>
      <c r="N7" s="17">
        <f t="shared" si="3"/>
        <v>0</v>
      </c>
      <c r="O7" s="18">
        <f t="shared" si="4"/>
        <v>0</v>
      </c>
      <c r="P7" s="19">
        <v>10</v>
      </c>
      <c r="Q7" s="20">
        <f t="shared" si="5"/>
        <v>930750</v>
      </c>
      <c r="R7" s="19">
        <v>10</v>
      </c>
      <c r="S7" s="20">
        <f t="shared" si="6"/>
        <v>620500</v>
      </c>
      <c r="T7" s="19">
        <f t="shared" si="7"/>
        <v>20</v>
      </c>
      <c r="U7" s="20">
        <f t="shared" si="8"/>
        <v>1551250</v>
      </c>
      <c r="V7" s="17">
        <v>20</v>
      </c>
      <c r="W7" s="18">
        <f t="shared" si="9"/>
        <v>1116900</v>
      </c>
      <c r="X7" s="17">
        <f t="shared" si="10"/>
        <v>20</v>
      </c>
      <c r="Y7" s="18">
        <f t="shared" si="11"/>
        <v>1116900</v>
      </c>
      <c r="Z7" s="19">
        <v>0</v>
      </c>
      <c r="AA7" s="20">
        <f t="shared" si="12"/>
        <v>0</v>
      </c>
      <c r="AB7" s="19">
        <v>0</v>
      </c>
      <c r="AC7" s="20">
        <f t="shared" si="13"/>
        <v>0</v>
      </c>
      <c r="AD7" s="19">
        <f t="shared" si="14"/>
        <v>0</v>
      </c>
      <c r="AE7" s="20">
        <f t="shared" si="15"/>
        <v>0</v>
      </c>
      <c r="AF7" s="17">
        <v>0</v>
      </c>
      <c r="AG7" s="18">
        <f t="shared" si="16"/>
        <v>0</v>
      </c>
      <c r="AH7" s="17">
        <v>0</v>
      </c>
      <c r="AI7" s="18">
        <f t="shared" si="17"/>
        <v>0</v>
      </c>
      <c r="AJ7" s="17">
        <f t="shared" si="18"/>
        <v>0</v>
      </c>
      <c r="AK7" s="18">
        <f t="shared" si="19"/>
        <v>0</v>
      </c>
      <c r="AL7" s="19">
        <v>0</v>
      </c>
      <c r="AM7" s="20">
        <f t="shared" si="20"/>
        <v>0</v>
      </c>
      <c r="AN7" s="19">
        <v>0</v>
      </c>
      <c r="AO7" s="20">
        <f t="shared" si="21"/>
        <v>0</v>
      </c>
      <c r="AP7" s="19">
        <f t="shared" si="22"/>
        <v>0</v>
      </c>
      <c r="AQ7" s="20">
        <f t="shared" si="23"/>
        <v>0</v>
      </c>
      <c r="AR7" s="17">
        <v>0</v>
      </c>
      <c r="AS7" s="18">
        <f t="shared" si="24"/>
        <v>0</v>
      </c>
      <c r="AT7" s="17">
        <v>0</v>
      </c>
      <c r="AU7" s="18">
        <f t="shared" si="25"/>
        <v>0</v>
      </c>
      <c r="AV7" s="17">
        <f t="shared" si="26"/>
        <v>0</v>
      </c>
      <c r="AW7" s="18">
        <f t="shared" si="27"/>
        <v>0</v>
      </c>
      <c r="AX7" s="19">
        <v>0</v>
      </c>
      <c r="AY7" s="20">
        <f t="shared" si="28"/>
        <v>0</v>
      </c>
      <c r="AZ7" s="19">
        <f t="shared" si="29"/>
        <v>0</v>
      </c>
      <c r="BA7" s="20">
        <f t="shared" si="30"/>
        <v>0</v>
      </c>
      <c r="BB7" s="17">
        <v>0</v>
      </c>
      <c r="BC7" s="18">
        <f t="shared" si="31"/>
        <v>0</v>
      </c>
      <c r="BD7" s="17">
        <f t="shared" si="32"/>
        <v>0</v>
      </c>
      <c r="BE7" s="18">
        <f t="shared" si="33"/>
        <v>0</v>
      </c>
      <c r="BF7" s="36">
        <v>0</v>
      </c>
      <c r="BG7" s="35">
        <f t="shared" si="34"/>
        <v>0</v>
      </c>
      <c r="BH7" s="36">
        <f t="shared" si="35"/>
        <v>0</v>
      </c>
      <c r="BI7" s="35">
        <f t="shared" si="36"/>
        <v>0</v>
      </c>
      <c r="BJ7" s="5">
        <f t="shared" si="37"/>
        <v>2668150</v>
      </c>
      <c r="BL7" s="77">
        <f t="shared" si="38"/>
        <v>2668150</v>
      </c>
      <c r="BM7" t="b">
        <f t="shared" si="39"/>
        <v>1</v>
      </c>
    </row>
    <row r="8" spans="1:65" ht="36">
      <c r="A8" s="228"/>
      <c r="B8" s="32" t="s">
        <v>64</v>
      </c>
      <c r="C8" s="24">
        <v>6757960</v>
      </c>
      <c r="D8" s="27" t="s">
        <v>65</v>
      </c>
      <c r="E8" s="25" t="s">
        <v>61</v>
      </c>
      <c r="F8" s="24" t="s">
        <v>56</v>
      </c>
      <c r="G8" s="31" t="s">
        <v>56</v>
      </c>
      <c r="H8" s="26">
        <v>0</v>
      </c>
      <c r="I8" s="18">
        <f t="shared" si="0"/>
        <v>0</v>
      </c>
      <c r="J8" s="17">
        <v>0</v>
      </c>
      <c r="K8" s="18">
        <f t="shared" si="1"/>
        <v>0</v>
      </c>
      <c r="L8" s="17">
        <v>0</v>
      </c>
      <c r="M8" s="18">
        <f t="shared" si="2"/>
        <v>0</v>
      </c>
      <c r="N8" s="17">
        <f t="shared" si="3"/>
        <v>0</v>
      </c>
      <c r="O8" s="18">
        <f t="shared" si="4"/>
        <v>0</v>
      </c>
      <c r="P8" s="19">
        <v>6</v>
      </c>
      <c r="Q8" s="20">
        <f t="shared" si="5"/>
        <v>558450</v>
      </c>
      <c r="R8" s="19">
        <v>3</v>
      </c>
      <c r="S8" s="20">
        <f t="shared" si="6"/>
        <v>186150</v>
      </c>
      <c r="T8" s="19">
        <f t="shared" si="7"/>
        <v>9</v>
      </c>
      <c r="U8" s="20">
        <f t="shared" si="8"/>
        <v>744600</v>
      </c>
      <c r="V8" s="17">
        <v>0</v>
      </c>
      <c r="W8" s="18">
        <f t="shared" si="9"/>
        <v>0</v>
      </c>
      <c r="X8" s="17">
        <f t="shared" si="10"/>
        <v>0</v>
      </c>
      <c r="Y8" s="18">
        <f t="shared" si="11"/>
        <v>0</v>
      </c>
      <c r="Z8" s="19">
        <v>0</v>
      </c>
      <c r="AA8" s="20">
        <f t="shared" si="12"/>
        <v>0</v>
      </c>
      <c r="AB8" s="19">
        <v>0</v>
      </c>
      <c r="AC8" s="20">
        <f t="shared" si="13"/>
        <v>0</v>
      </c>
      <c r="AD8" s="19">
        <f t="shared" si="14"/>
        <v>0</v>
      </c>
      <c r="AE8" s="20">
        <f t="shared" si="15"/>
        <v>0</v>
      </c>
      <c r="AF8" s="17">
        <v>0</v>
      </c>
      <c r="AG8" s="18">
        <f t="shared" si="16"/>
        <v>0</v>
      </c>
      <c r="AH8" s="17">
        <v>0</v>
      </c>
      <c r="AI8" s="18">
        <f t="shared" si="17"/>
        <v>0</v>
      </c>
      <c r="AJ8" s="17">
        <f t="shared" si="18"/>
        <v>0</v>
      </c>
      <c r="AK8" s="18">
        <f t="shared" si="19"/>
        <v>0</v>
      </c>
      <c r="AL8" s="19">
        <v>0</v>
      </c>
      <c r="AM8" s="20">
        <f t="shared" si="20"/>
        <v>0</v>
      </c>
      <c r="AN8" s="19">
        <v>0</v>
      </c>
      <c r="AO8" s="20">
        <f t="shared" si="21"/>
        <v>0</v>
      </c>
      <c r="AP8" s="19">
        <f t="shared" si="22"/>
        <v>0</v>
      </c>
      <c r="AQ8" s="20">
        <f t="shared" si="23"/>
        <v>0</v>
      </c>
      <c r="AR8" s="17">
        <v>0</v>
      </c>
      <c r="AS8" s="18">
        <f t="shared" si="24"/>
        <v>0</v>
      </c>
      <c r="AT8" s="17">
        <v>0</v>
      </c>
      <c r="AU8" s="18">
        <f t="shared" si="25"/>
        <v>0</v>
      </c>
      <c r="AV8" s="17">
        <f t="shared" si="26"/>
        <v>0</v>
      </c>
      <c r="AW8" s="18">
        <f t="shared" si="27"/>
        <v>0</v>
      </c>
      <c r="AX8" s="19">
        <v>0</v>
      </c>
      <c r="AY8" s="20">
        <f t="shared" si="28"/>
        <v>0</v>
      </c>
      <c r="AZ8" s="19">
        <f t="shared" si="29"/>
        <v>0</v>
      </c>
      <c r="BA8" s="20">
        <f t="shared" si="30"/>
        <v>0</v>
      </c>
      <c r="BB8" s="17">
        <v>0</v>
      </c>
      <c r="BC8" s="18">
        <f t="shared" si="31"/>
        <v>0</v>
      </c>
      <c r="BD8" s="17">
        <f t="shared" si="32"/>
        <v>0</v>
      </c>
      <c r="BE8" s="18">
        <f t="shared" si="33"/>
        <v>0</v>
      </c>
      <c r="BF8" s="36">
        <v>0</v>
      </c>
      <c r="BG8" s="35">
        <f t="shared" si="34"/>
        <v>0</v>
      </c>
      <c r="BH8" s="36">
        <f t="shared" si="35"/>
        <v>0</v>
      </c>
      <c r="BI8" s="35">
        <f t="shared" si="36"/>
        <v>0</v>
      </c>
      <c r="BJ8" s="5">
        <f t="shared" si="37"/>
        <v>744600</v>
      </c>
      <c r="BL8" s="77">
        <f t="shared" si="38"/>
        <v>744600</v>
      </c>
      <c r="BM8" t="b">
        <f t="shared" si="39"/>
        <v>1</v>
      </c>
    </row>
    <row r="9" spans="1:65" s="155" customFormat="1" ht="23.25" customHeight="1">
      <c r="A9" s="232" t="s">
        <v>66</v>
      </c>
      <c r="B9" s="147" t="s">
        <v>67</v>
      </c>
      <c r="C9" s="137">
        <v>2306344</v>
      </c>
      <c r="D9" s="148" t="s">
        <v>173</v>
      </c>
      <c r="E9" s="149" t="s">
        <v>58</v>
      </c>
      <c r="F9" s="137" t="s">
        <v>59</v>
      </c>
      <c r="G9" s="138" t="s">
        <v>56</v>
      </c>
      <c r="H9" s="150">
        <v>0</v>
      </c>
      <c r="I9" s="151">
        <f>H9*100000*12</f>
        <v>0</v>
      </c>
      <c r="J9" s="152">
        <v>0</v>
      </c>
      <c r="K9" s="151">
        <f>J9*200000*12</f>
        <v>0</v>
      </c>
      <c r="L9" s="152">
        <v>0</v>
      </c>
      <c r="M9" s="151">
        <f>L9*300000*12</f>
        <v>0</v>
      </c>
      <c r="N9" s="152">
        <f>SUM(H9+J9+L9)</f>
        <v>0</v>
      </c>
      <c r="O9" s="151">
        <f>SUM(I9+K9+M9)</f>
        <v>0</v>
      </c>
      <c r="P9" s="152">
        <v>5</v>
      </c>
      <c r="Q9" s="151">
        <f>P9*365*300*0.85</f>
        <v>465375</v>
      </c>
      <c r="R9" s="152">
        <v>5</v>
      </c>
      <c r="S9" s="151">
        <f>R9*365*(300-100)*0.85</f>
        <v>310250</v>
      </c>
      <c r="T9" s="152">
        <f>SUM(P9+R9)</f>
        <v>10</v>
      </c>
      <c r="U9" s="151">
        <f>Q9+S9</f>
        <v>775625</v>
      </c>
      <c r="V9" s="152"/>
      <c r="W9" s="151"/>
      <c r="X9" s="152"/>
      <c r="Y9" s="151"/>
      <c r="Z9" s="152"/>
      <c r="AA9" s="151"/>
      <c r="AB9" s="19">
        <v>0</v>
      </c>
      <c r="AC9" s="20">
        <f>AB9*(800-478.72)*365*0.9</f>
        <v>0</v>
      </c>
      <c r="AD9" s="19">
        <f>SUM(Z9+AB9)</f>
        <v>0</v>
      </c>
      <c r="AE9" s="20">
        <f>(AA9+AC9)</f>
        <v>0</v>
      </c>
      <c r="AF9" s="152">
        <v>0</v>
      </c>
      <c r="AG9" s="151">
        <f>AF9*800*365*0.9</f>
        <v>0</v>
      </c>
      <c r="AH9" s="152">
        <v>0</v>
      </c>
      <c r="AI9" s="151">
        <f>AH9*(800-508.63)*365*0.9</f>
        <v>0</v>
      </c>
      <c r="AJ9" s="152">
        <f>SUM(AF9+AH9)</f>
        <v>0</v>
      </c>
      <c r="AK9" s="151">
        <f>SUM(AG9+AI9)</f>
        <v>0</v>
      </c>
      <c r="AL9" s="152">
        <v>0</v>
      </c>
      <c r="AM9" s="151">
        <f>AL9*800*365*0.9</f>
        <v>0</v>
      </c>
      <c r="AN9" s="152">
        <v>0</v>
      </c>
      <c r="AO9" s="151">
        <f>AN9*(800-478.72)*365*0.9</f>
        <v>0</v>
      </c>
      <c r="AP9" s="152">
        <f>SUM(AL9+AN9)</f>
        <v>0</v>
      </c>
      <c r="AQ9" s="151">
        <f>SUM(AM9+AO9)</f>
        <v>0</v>
      </c>
      <c r="AR9" s="152">
        <v>0</v>
      </c>
      <c r="AS9" s="151">
        <f>AR9*800*365*0.9</f>
        <v>0</v>
      </c>
      <c r="AT9" s="152">
        <v>0</v>
      </c>
      <c r="AU9" s="151">
        <f>AT9*(800-508.63)*365*0.9</f>
        <v>0</v>
      </c>
      <c r="AV9" s="152">
        <f>SUM(AR9+AT9)</f>
        <v>0</v>
      </c>
      <c r="AW9" s="151">
        <f>SUM(AS9+AU9)</f>
        <v>0</v>
      </c>
      <c r="AX9" s="152">
        <v>0</v>
      </c>
      <c r="AY9" s="151">
        <f>AX9*350*365*0.9</f>
        <v>0</v>
      </c>
      <c r="AZ9" s="152">
        <f>AX9</f>
        <v>0</v>
      </c>
      <c r="BA9" s="151">
        <f>AY9</f>
        <v>0</v>
      </c>
      <c r="BB9" s="152">
        <v>0</v>
      </c>
      <c r="BC9" s="151">
        <f>BB9*350*365*0.85</f>
        <v>0</v>
      </c>
      <c r="BD9" s="152">
        <f>BB9</f>
        <v>0</v>
      </c>
      <c r="BE9" s="151">
        <f>BC9</f>
        <v>0</v>
      </c>
      <c r="BF9" s="153">
        <v>0</v>
      </c>
      <c r="BG9" s="154">
        <f>BF9*365*800*0.9</f>
        <v>0</v>
      </c>
      <c r="BH9" s="153">
        <f>BF9</f>
        <v>0</v>
      </c>
      <c r="BI9" s="154">
        <f>BG9</f>
        <v>0</v>
      </c>
      <c r="BJ9" s="151">
        <f t="shared" si="37"/>
        <v>775625</v>
      </c>
      <c r="BL9" s="156"/>
    </row>
    <row r="10" spans="1:65" s="155" customFormat="1" ht="48" customHeight="1">
      <c r="A10" s="233"/>
      <c r="B10" s="147" t="s">
        <v>67</v>
      </c>
      <c r="C10" s="137">
        <v>2306336</v>
      </c>
      <c r="D10" s="148" t="s">
        <v>68</v>
      </c>
      <c r="E10" s="149" t="s">
        <v>58</v>
      </c>
      <c r="F10" s="147" t="s">
        <v>59</v>
      </c>
      <c r="G10" s="138" t="s">
        <v>56</v>
      </c>
      <c r="H10" s="150"/>
      <c r="I10" s="151"/>
      <c r="J10" s="152">
        <v>0</v>
      </c>
      <c r="K10" s="151">
        <f t="shared" si="1"/>
        <v>0</v>
      </c>
      <c r="L10" s="152">
        <v>1</v>
      </c>
      <c r="M10" s="151">
        <f t="shared" si="2"/>
        <v>3600000</v>
      </c>
      <c r="N10" s="152">
        <f t="shared" si="3"/>
        <v>1</v>
      </c>
      <c r="O10" s="151">
        <f t="shared" si="4"/>
        <v>3600000</v>
      </c>
      <c r="P10" s="152">
        <v>0</v>
      </c>
      <c r="Q10" s="151">
        <f>P10*365*300*0.85</f>
        <v>0</v>
      </c>
      <c r="R10" s="152">
        <v>0</v>
      </c>
      <c r="S10" s="151">
        <f>R10*365*(300-100)*0.85</f>
        <v>0</v>
      </c>
      <c r="T10" s="152">
        <f>SUM(P10+R10)</f>
        <v>0</v>
      </c>
      <c r="U10" s="151">
        <f>Q10+S10</f>
        <v>0</v>
      </c>
      <c r="V10" s="152">
        <v>0</v>
      </c>
      <c r="W10" s="151">
        <f t="shared" si="9"/>
        <v>0</v>
      </c>
      <c r="X10" s="152">
        <f t="shared" si="10"/>
        <v>0</v>
      </c>
      <c r="Y10" s="151">
        <f t="shared" si="11"/>
        <v>0</v>
      </c>
      <c r="Z10" s="152">
        <v>0</v>
      </c>
      <c r="AA10" s="151">
        <f t="shared" si="12"/>
        <v>0</v>
      </c>
      <c r="AB10" s="152">
        <v>5</v>
      </c>
      <c r="AC10" s="151">
        <f>AB10*(800-478.72)*365*0.9</f>
        <v>527702.4</v>
      </c>
      <c r="AD10" s="152">
        <f>SUM(Z10+AB10)</f>
        <v>5</v>
      </c>
      <c r="AE10" s="151">
        <f>(AA10+AC10)</f>
        <v>527702.4</v>
      </c>
      <c r="AF10" s="152">
        <v>0</v>
      </c>
      <c r="AG10" s="151">
        <f t="shared" si="16"/>
        <v>0</v>
      </c>
      <c r="AH10" s="152">
        <v>0</v>
      </c>
      <c r="AI10" s="151">
        <f t="shared" si="17"/>
        <v>0</v>
      </c>
      <c r="AJ10" s="152">
        <f t="shared" si="18"/>
        <v>0</v>
      </c>
      <c r="AK10" s="151">
        <f t="shared" si="19"/>
        <v>0</v>
      </c>
      <c r="AL10" s="152">
        <v>0</v>
      </c>
      <c r="AM10" s="151">
        <f t="shared" si="20"/>
        <v>0</v>
      </c>
      <c r="AN10" s="152">
        <v>0</v>
      </c>
      <c r="AO10" s="151">
        <f t="shared" si="21"/>
        <v>0</v>
      </c>
      <c r="AP10" s="152">
        <f t="shared" si="22"/>
        <v>0</v>
      </c>
      <c r="AQ10" s="151">
        <f t="shared" si="23"/>
        <v>0</v>
      </c>
      <c r="AR10" s="152">
        <v>0</v>
      </c>
      <c r="AS10" s="151">
        <f t="shared" si="24"/>
        <v>0</v>
      </c>
      <c r="AT10" s="152">
        <v>0</v>
      </c>
      <c r="AU10" s="151">
        <f t="shared" si="25"/>
        <v>0</v>
      </c>
      <c r="AV10" s="152">
        <f t="shared" si="26"/>
        <v>0</v>
      </c>
      <c r="AW10" s="151">
        <f t="shared" si="27"/>
        <v>0</v>
      </c>
      <c r="AX10" s="152">
        <v>0</v>
      </c>
      <c r="AY10" s="151">
        <f t="shared" si="28"/>
        <v>0</v>
      </c>
      <c r="AZ10" s="152">
        <f t="shared" si="29"/>
        <v>0</v>
      </c>
      <c r="BA10" s="151">
        <f t="shared" si="30"/>
        <v>0</v>
      </c>
      <c r="BB10" s="152">
        <v>10</v>
      </c>
      <c r="BC10" s="151">
        <f t="shared" si="31"/>
        <v>1085875</v>
      </c>
      <c r="BD10" s="152">
        <f t="shared" si="32"/>
        <v>10</v>
      </c>
      <c r="BE10" s="151">
        <f t="shared" si="33"/>
        <v>1085875</v>
      </c>
      <c r="BF10" s="153">
        <v>0</v>
      </c>
      <c r="BG10" s="154">
        <f t="shared" si="34"/>
        <v>0</v>
      </c>
      <c r="BH10" s="153">
        <f t="shared" si="35"/>
        <v>0</v>
      </c>
      <c r="BI10" s="154">
        <f t="shared" si="36"/>
        <v>0</v>
      </c>
      <c r="BJ10" s="151">
        <f t="shared" si="37"/>
        <v>5213577.4000000004</v>
      </c>
      <c r="BL10" s="156">
        <f t="shared" si="38"/>
        <v>5213577.4000000004</v>
      </c>
      <c r="BM10" s="155" t="b">
        <f t="shared" si="39"/>
        <v>1</v>
      </c>
    </row>
    <row r="11" spans="1:65" ht="48">
      <c r="A11" s="234"/>
      <c r="B11" s="32" t="s">
        <v>69</v>
      </c>
      <c r="C11" s="33">
        <v>2492342</v>
      </c>
      <c r="D11" s="27" t="s">
        <v>70</v>
      </c>
      <c r="E11" s="25" t="s">
        <v>58</v>
      </c>
      <c r="F11" s="24" t="s">
        <v>59</v>
      </c>
      <c r="G11" s="31" t="s">
        <v>56</v>
      </c>
      <c r="H11" s="26">
        <v>0</v>
      </c>
      <c r="I11" s="18">
        <f t="shared" si="0"/>
        <v>0</v>
      </c>
      <c r="J11" s="17">
        <v>0</v>
      </c>
      <c r="K11" s="18">
        <f t="shared" si="1"/>
        <v>0</v>
      </c>
      <c r="L11" s="17">
        <v>0</v>
      </c>
      <c r="M11" s="18">
        <f t="shared" si="2"/>
        <v>0</v>
      </c>
      <c r="N11" s="17">
        <f t="shared" si="3"/>
        <v>0</v>
      </c>
      <c r="O11" s="18">
        <f t="shared" si="4"/>
        <v>0</v>
      </c>
      <c r="P11" s="19">
        <v>5</v>
      </c>
      <c r="Q11" s="20">
        <f t="shared" si="5"/>
        <v>465375</v>
      </c>
      <c r="R11" s="19">
        <v>5</v>
      </c>
      <c r="S11" s="20">
        <f t="shared" si="6"/>
        <v>310250</v>
      </c>
      <c r="T11" s="19">
        <f t="shared" si="7"/>
        <v>10</v>
      </c>
      <c r="U11" s="20">
        <f t="shared" si="8"/>
        <v>775625</v>
      </c>
      <c r="V11" s="17">
        <v>0</v>
      </c>
      <c r="W11" s="18">
        <f t="shared" si="9"/>
        <v>0</v>
      </c>
      <c r="X11" s="17">
        <f t="shared" si="10"/>
        <v>0</v>
      </c>
      <c r="Y11" s="18">
        <f t="shared" si="11"/>
        <v>0</v>
      </c>
      <c r="Z11" s="19">
        <v>0</v>
      </c>
      <c r="AA11" s="20">
        <f t="shared" si="12"/>
        <v>0</v>
      </c>
      <c r="AB11" s="19">
        <v>0</v>
      </c>
      <c r="AC11" s="20">
        <f t="shared" si="13"/>
        <v>0</v>
      </c>
      <c r="AD11" s="19">
        <f t="shared" si="14"/>
        <v>0</v>
      </c>
      <c r="AE11" s="20">
        <f t="shared" si="15"/>
        <v>0</v>
      </c>
      <c r="AF11" s="17">
        <v>0</v>
      </c>
      <c r="AG11" s="18">
        <f t="shared" si="16"/>
        <v>0</v>
      </c>
      <c r="AH11" s="17">
        <v>0</v>
      </c>
      <c r="AI11" s="18">
        <f t="shared" si="17"/>
        <v>0</v>
      </c>
      <c r="AJ11" s="17">
        <f t="shared" si="18"/>
        <v>0</v>
      </c>
      <c r="AK11" s="18">
        <f t="shared" si="19"/>
        <v>0</v>
      </c>
      <c r="AL11" s="19">
        <v>0</v>
      </c>
      <c r="AM11" s="20">
        <f t="shared" si="20"/>
        <v>0</v>
      </c>
      <c r="AN11" s="19">
        <v>0</v>
      </c>
      <c r="AO11" s="20">
        <f t="shared" si="21"/>
        <v>0</v>
      </c>
      <c r="AP11" s="19">
        <f t="shared" si="22"/>
        <v>0</v>
      </c>
      <c r="AQ11" s="20">
        <f t="shared" si="23"/>
        <v>0</v>
      </c>
      <c r="AR11" s="17">
        <v>0</v>
      </c>
      <c r="AS11" s="18">
        <f t="shared" si="24"/>
        <v>0</v>
      </c>
      <c r="AT11" s="17">
        <v>0</v>
      </c>
      <c r="AU11" s="18">
        <f t="shared" si="25"/>
        <v>0</v>
      </c>
      <c r="AV11" s="17">
        <f t="shared" si="26"/>
        <v>0</v>
      </c>
      <c r="AW11" s="18">
        <f t="shared" si="27"/>
        <v>0</v>
      </c>
      <c r="AX11" s="19">
        <v>0</v>
      </c>
      <c r="AY11" s="20">
        <f t="shared" si="28"/>
        <v>0</v>
      </c>
      <c r="AZ11" s="19">
        <f t="shared" si="29"/>
        <v>0</v>
      </c>
      <c r="BA11" s="20">
        <f t="shared" si="30"/>
        <v>0</v>
      </c>
      <c r="BB11" s="17">
        <v>0</v>
      </c>
      <c r="BC11" s="18">
        <f t="shared" si="31"/>
        <v>0</v>
      </c>
      <c r="BD11" s="17">
        <f t="shared" si="32"/>
        <v>0</v>
      </c>
      <c r="BE11" s="18">
        <f t="shared" si="33"/>
        <v>0</v>
      </c>
      <c r="BF11" s="36">
        <v>0</v>
      </c>
      <c r="BG11" s="35">
        <f t="shared" si="34"/>
        <v>0</v>
      </c>
      <c r="BH11" s="36">
        <f t="shared" si="35"/>
        <v>0</v>
      </c>
      <c r="BI11" s="35">
        <f t="shared" si="36"/>
        <v>0</v>
      </c>
      <c r="BJ11" s="5">
        <f t="shared" si="37"/>
        <v>775625</v>
      </c>
      <c r="BL11" s="77">
        <f t="shared" si="38"/>
        <v>775625</v>
      </c>
      <c r="BM11" t="b">
        <f t="shared" si="39"/>
        <v>1</v>
      </c>
    </row>
    <row r="12" spans="1:65" ht="48">
      <c r="A12" s="229" t="s">
        <v>71</v>
      </c>
      <c r="B12" s="32" t="s">
        <v>72</v>
      </c>
      <c r="C12" s="33">
        <v>2490935</v>
      </c>
      <c r="D12" s="27" t="s">
        <v>73</v>
      </c>
      <c r="E12" s="25" t="s">
        <v>58</v>
      </c>
      <c r="F12" s="24" t="s">
        <v>59</v>
      </c>
      <c r="G12" s="24" t="s">
        <v>56</v>
      </c>
      <c r="H12" s="26">
        <v>0</v>
      </c>
      <c r="I12" s="18">
        <f t="shared" si="0"/>
        <v>0</v>
      </c>
      <c r="J12" s="17">
        <v>0</v>
      </c>
      <c r="K12" s="18">
        <f t="shared" si="1"/>
        <v>0</v>
      </c>
      <c r="L12" s="17">
        <v>0</v>
      </c>
      <c r="M12" s="18">
        <f t="shared" si="2"/>
        <v>0</v>
      </c>
      <c r="N12" s="17">
        <f t="shared" si="3"/>
        <v>0</v>
      </c>
      <c r="O12" s="18">
        <f t="shared" si="4"/>
        <v>0</v>
      </c>
      <c r="P12" s="19">
        <v>10</v>
      </c>
      <c r="Q12" s="20">
        <f t="shared" si="5"/>
        <v>930750</v>
      </c>
      <c r="R12" s="19">
        <v>10</v>
      </c>
      <c r="S12" s="20">
        <f t="shared" si="6"/>
        <v>620500</v>
      </c>
      <c r="T12" s="19">
        <f t="shared" si="7"/>
        <v>20</v>
      </c>
      <c r="U12" s="20">
        <f t="shared" si="8"/>
        <v>1551250</v>
      </c>
      <c r="V12" s="17">
        <v>0</v>
      </c>
      <c r="W12" s="18">
        <f t="shared" si="9"/>
        <v>0</v>
      </c>
      <c r="X12" s="17">
        <f t="shared" si="10"/>
        <v>0</v>
      </c>
      <c r="Y12" s="18">
        <f t="shared" si="11"/>
        <v>0</v>
      </c>
      <c r="Z12" s="19">
        <v>0</v>
      </c>
      <c r="AA12" s="20">
        <f t="shared" si="12"/>
        <v>0</v>
      </c>
      <c r="AB12" s="19">
        <v>0</v>
      </c>
      <c r="AC12" s="20">
        <f t="shared" si="13"/>
        <v>0</v>
      </c>
      <c r="AD12" s="19">
        <f t="shared" si="14"/>
        <v>0</v>
      </c>
      <c r="AE12" s="20">
        <f t="shared" si="15"/>
        <v>0</v>
      </c>
      <c r="AF12" s="17">
        <v>0</v>
      </c>
      <c r="AG12" s="18">
        <f t="shared" si="16"/>
        <v>0</v>
      </c>
      <c r="AH12" s="17">
        <v>0</v>
      </c>
      <c r="AI12" s="18">
        <f t="shared" si="17"/>
        <v>0</v>
      </c>
      <c r="AJ12" s="17">
        <f t="shared" si="18"/>
        <v>0</v>
      </c>
      <c r="AK12" s="18">
        <f t="shared" si="19"/>
        <v>0</v>
      </c>
      <c r="AL12" s="19">
        <v>0</v>
      </c>
      <c r="AM12" s="20">
        <f t="shared" si="20"/>
        <v>0</v>
      </c>
      <c r="AN12" s="19">
        <v>0</v>
      </c>
      <c r="AO12" s="20">
        <f t="shared" si="21"/>
        <v>0</v>
      </c>
      <c r="AP12" s="19">
        <f t="shared" si="22"/>
        <v>0</v>
      </c>
      <c r="AQ12" s="20">
        <f t="shared" si="23"/>
        <v>0</v>
      </c>
      <c r="AR12" s="17">
        <v>0</v>
      </c>
      <c r="AS12" s="18">
        <f t="shared" si="24"/>
        <v>0</v>
      </c>
      <c r="AT12" s="17">
        <v>0</v>
      </c>
      <c r="AU12" s="18">
        <f t="shared" si="25"/>
        <v>0</v>
      </c>
      <c r="AV12" s="17">
        <f t="shared" si="26"/>
        <v>0</v>
      </c>
      <c r="AW12" s="18">
        <f t="shared" si="27"/>
        <v>0</v>
      </c>
      <c r="AX12" s="19">
        <v>0</v>
      </c>
      <c r="AY12" s="20">
        <f t="shared" si="28"/>
        <v>0</v>
      </c>
      <c r="AZ12" s="19">
        <f t="shared" si="29"/>
        <v>0</v>
      </c>
      <c r="BA12" s="20">
        <f t="shared" si="30"/>
        <v>0</v>
      </c>
      <c r="BB12" s="17">
        <v>0</v>
      </c>
      <c r="BC12" s="18">
        <f t="shared" si="31"/>
        <v>0</v>
      </c>
      <c r="BD12" s="17">
        <f t="shared" si="32"/>
        <v>0</v>
      </c>
      <c r="BE12" s="18">
        <f t="shared" si="33"/>
        <v>0</v>
      </c>
      <c r="BF12" s="36">
        <v>0</v>
      </c>
      <c r="BG12" s="35">
        <f t="shared" si="34"/>
        <v>0</v>
      </c>
      <c r="BH12" s="36">
        <f t="shared" si="35"/>
        <v>0</v>
      </c>
      <c r="BI12" s="35">
        <f t="shared" si="36"/>
        <v>0</v>
      </c>
      <c r="BJ12" s="5">
        <f t="shared" si="37"/>
        <v>1551250</v>
      </c>
      <c r="BL12" s="77">
        <f t="shared" si="38"/>
        <v>1551250</v>
      </c>
      <c r="BM12" t="b">
        <f t="shared" si="39"/>
        <v>1</v>
      </c>
    </row>
    <row r="13" spans="1:65" ht="48">
      <c r="A13" s="229"/>
      <c r="B13" s="32" t="s">
        <v>74</v>
      </c>
      <c r="C13" s="33">
        <v>2543044</v>
      </c>
      <c r="D13" s="27" t="s">
        <v>75</v>
      </c>
      <c r="E13" s="25" t="s">
        <v>58</v>
      </c>
      <c r="F13" s="32" t="s">
        <v>59</v>
      </c>
      <c r="G13" s="31" t="s">
        <v>76</v>
      </c>
      <c r="H13" s="26">
        <v>0</v>
      </c>
      <c r="I13" s="18">
        <f t="shared" si="0"/>
        <v>0</v>
      </c>
      <c r="J13" s="17">
        <v>0</v>
      </c>
      <c r="K13" s="18">
        <f t="shared" si="1"/>
        <v>0</v>
      </c>
      <c r="L13" s="17">
        <v>0</v>
      </c>
      <c r="M13" s="18">
        <f t="shared" si="2"/>
        <v>0</v>
      </c>
      <c r="N13" s="17">
        <f t="shared" si="3"/>
        <v>0</v>
      </c>
      <c r="O13" s="18">
        <f t="shared" si="4"/>
        <v>0</v>
      </c>
      <c r="P13" s="19">
        <v>0</v>
      </c>
      <c r="Q13" s="20">
        <f t="shared" si="5"/>
        <v>0</v>
      </c>
      <c r="R13" s="19">
        <v>0</v>
      </c>
      <c r="S13" s="20">
        <f t="shared" si="6"/>
        <v>0</v>
      </c>
      <c r="T13" s="19">
        <f t="shared" si="7"/>
        <v>0</v>
      </c>
      <c r="U13" s="20">
        <f t="shared" si="8"/>
        <v>0</v>
      </c>
      <c r="V13" s="17">
        <v>0</v>
      </c>
      <c r="W13" s="18">
        <f t="shared" si="9"/>
        <v>0</v>
      </c>
      <c r="X13" s="17">
        <f t="shared" si="10"/>
        <v>0</v>
      </c>
      <c r="Y13" s="18">
        <f t="shared" si="11"/>
        <v>0</v>
      </c>
      <c r="Z13" s="19">
        <v>2</v>
      </c>
      <c r="AA13" s="20">
        <f t="shared" si="12"/>
        <v>525600</v>
      </c>
      <c r="AB13" s="19">
        <v>4</v>
      </c>
      <c r="AC13" s="20">
        <f t="shared" si="13"/>
        <v>422161.91999999998</v>
      </c>
      <c r="AD13" s="19">
        <f t="shared" si="14"/>
        <v>6</v>
      </c>
      <c r="AE13" s="20">
        <f t="shared" si="15"/>
        <v>947761.91999999993</v>
      </c>
      <c r="AF13" s="17">
        <v>0</v>
      </c>
      <c r="AG13" s="18">
        <f t="shared" si="16"/>
        <v>0</v>
      </c>
      <c r="AH13" s="17">
        <v>0</v>
      </c>
      <c r="AI13" s="18">
        <f t="shared" si="17"/>
        <v>0</v>
      </c>
      <c r="AJ13" s="17">
        <f t="shared" si="18"/>
        <v>0</v>
      </c>
      <c r="AK13" s="18">
        <f t="shared" si="19"/>
        <v>0</v>
      </c>
      <c r="AL13" s="19">
        <v>0</v>
      </c>
      <c r="AM13" s="20">
        <f t="shared" si="20"/>
        <v>0</v>
      </c>
      <c r="AN13" s="19">
        <v>0</v>
      </c>
      <c r="AO13" s="20">
        <f t="shared" si="21"/>
        <v>0</v>
      </c>
      <c r="AP13" s="19">
        <f t="shared" si="22"/>
        <v>0</v>
      </c>
      <c r="AQ13" s="20">
        <f t="shared" si="23"/>
        <v>0</v>
      </c>
      <c r="AR13" s="17">
        <v>0</v>
      </c>
      <c r="AS13" s="18">
        <f t="shared" si="24"/>
        <v>0</v>
      </c>
      <c r="AT13" s="17">
        <v>0</v>
      </c>
      <c r="AU13" s="18">
        <f t="shared" si="25"/>
        <v>0</v>
      </c>
      <c r="AV13" s="17">
        <f t="shared" si="26"/>
        <v>0</v>
      </c>
      <c r="AW13" s="18">
        <f t="shared" si="27"/>
        <v>0</v>
      </c>
      <c r="AX13" s="19">
        <v>0</v>
      </c>
      <c r="AY13" s="20">
        <f t="shared" si="28"/>
        <v>0</v>
      </c>
      <c r="AZ13" s="19">
        <f t="shared" si="29"/>
        <v>0</v>
      </c>
      <c r="BA13" s="20">
        <f t="shared" si="30"/>
        <v>0</v>
      </c>
      <c r="BB13" s="17">
        <v>0</v>
      </c>
      <c r="BC13" s="18">
        <f t="shared" si="31"/>
        <v>0</v>
      </c>
      <c r="BD13" s="17">
        <f t="shared" si="32"/>
        <v>0</v>
      </c>
      <c r="BE13" s="18">
        <f t="shared" si="33"/>
        <v>0</v>
      </c>
      <c r="BF13" s="36">
        <v>0</v>
      </c>
      <c r="BG13" s="35">
        <f t="shared" si="34"/>
        <v>0</v>
      </c>
      <c r="BH13" s="36">
        <f t="shared" si="35"/>
        <v>0</v>
      </c>
      <c r="BI13" s="35">
        <f t="shared" si="36"/>
        <v>0</v>
      </c>
      <c r="BJ13" s="5">
        <f t="shared" si="37"/>
        <v>947761.91999999993</v>
      </c>
      <c r="BL13" s="77">
        <f t="shared" si="38"/>
        <v>947761.91999999993</v>
      </c>
      <c r="BM13" t="b">
        <f t="shared" si="39"/>
        <v>1</v>
      </c>
    </row>
    <row r="14" spans="1:65" ht="48">
      <c r="A14" s="229"/>
      <c r="B14" s="32" t="s">
        <v>77</v>
      </c>
      <c r="C14" s="33">
        <v>2491249</v>
      </c>
      <c r="D14" s="27" t="s">
        <v>78</v>
      </c>
      <c r="E14" s="25" t="s">
        <v>58</v>
      </c>
      <c r="F14" s="32" t="s">
        <v>59</v>
      </c>
      <c r="G14" s="31" t="s">
        <v>56</v>
      </c>
      <c r="H14" s="26">
        <v>0</v>
      </c>
      <c r="I14" s="18">
        <f t="shared" si="0"/>
        <v>0</v>
      </c>
      <c r="J14" s="17">
        <v>0</v>
      </c>
      <c r="K14" s="18">
        <f t="shared" si="1"/>
        <v>0</v>
      </c>
      <c r="L14" s="17">
        <v>0</v>
      </c>
      <c r="M14" s="18">
        <f t="shared" si="2"/>
        <v>0</v>
      </c>
      <c r="N14" s="17">
        <f t="shared" si="3"/>
        <v>0</v>
      </c>
      <c r="O14" s="18">
        <f t="shared" si="4"/>
        <v>0</v>
      </c>
      <c r="P14" s="19">
        <v>0</v>
      </c>
      <c r="Q14" s="20">
        <f t="shared" si="5"/>
        <v>0</v>
      </c>
      <c r="R14" s="19">
        <v>0</v>
      </c>
      <c r="S14" s="20">
        <f t="shared" si="6"/>
        <v>0</v>
      </c>
      <c r="T14" s="19">
        <f t="shared" si="7"/>
        <v>0</v>
      </c>
      <c r="U14" s="20">
        <f t="shared" si="8"/>
        <v>0</v>
      </c>
      <c r="V14" s="17">
        <v>0</v>
      </c>
      <c r="W14" s="18">
        <f t="shared" si="9"/>
        <v>0</v>
      </c>
      <c r="X14" s="17">
        <f t="shared" si="10"/>
        <v>0</v>
      </c>
      <c r="Y14" s="18">
        <f t="shared" si="11"/>
        <v>0</v>
      </c>
      <c r="Z14" s="19">
        <v>0</v>
      </c>
      <c r="AA14" s="20">
        <f t="shared" si="12"/>
        <v>0</v>
      </c>
      <c r="AB14" s="19">
        <v>4</v>
      </c>
      <c r="AC14" s="20">
        <f t="shared" si="13"/>
        <v>422161.91999999998</v>
      </c>
      <c r="AD14" s="19">
        <f t="shared" si="14"/>
        <v>4</v>
      </c>
      <c r="AE14" s="20">
        <f t="shared" si="15"/>
        <v>422161.91999999998</v>
      </c>
      <c r="AF14" s="17">
        <v>0</v>
      </c>
      <c r="AG14" s="18">
        <f t="shared" si="16"/>
        <v>0</v>
      </c>
      <c r="AH14" s="17">
        <v>0</v>
      </c>
      <c r="AI14" s="18">
        <f t="shared" si="17"/>
        <v>0</v>
      </c>
      <c r="AJ14" s="17">
        <f t="shared" si="18"/>
        <v>0</v>
      </c>
      <c r="AK14" s="18">
        <f t="shared" si="19"/>
        <v>0</v>
      </c>
      <c r="AL14" s="19">
        <v>0</v>
      </c>
      <c r="AM14" s="20">
        <f t="shared" si="20"/>
        <v>0</v>
      </c>
      <c r="AN14" s="19">
        <v>0</v>
      </c>
      <c r="AO14" s="20">
        <f t="shared" si="21"/>
        <v>0</v>
      </c>
      <c r="AP14" s="19">
        <f t="shared" si="22"/>
        <v>0</v>
      </c>
      <c r="AQ14" s="20">
        <f t="shared" si="23"/>
        <v>0</v>
      </c>
      <c r="AR14" s="17">
        <v>0</v>
      </c>
      <c r="AS14" s="18">
        <f t="shared" si="24"/>
        <v>0</v>
      </c>
      <c r="AT14" s="17">
        <v>0</v>
      </c>
      <c r="AU14" s="18">
        <f t="shared" si="25"/>
        <v>0</v>
      </c>
      <c r="AV14" s="17">
        <f t="shared" si="26"/>
        <v>0</v>
      </c>
      <c r="AW14" s="18">
        <f t="shared" si="27"/>
        <v>0</v>
      </c>
      <c r="AX14" s="19">
        <v>0</v>
      </c>
      <c r="AY14" s="20">
        <f t="shared" si="28"/>
        <v>0</v>
      </c>
      <c r="AZ14" s="19">
        <f t="shared" si="29"/>
        <v>0</v>
      </c>
      <c r="BA14" s="20">
        <f t="shared" si="30"/>
        <v>0</v>
      </c>
      <c r="BB14" s="17">
        <v>0</v>
      </c>
      <c r="BC14" s="18">
        <f t="shared" si="31"/>
        <v>0</v>
      </c>
      <c r="BD14" s="17">
        <f t="shared" si="32"/>
        <v>0</v>
      </c>
      <c r="BE14" s="18">
        <f t="shared" si="33"/>
        <v>0</v>
      </c>
      <c r="BF14" s="36">
        <v>0</v>
      </c>
      <c r="BG14" s="35">
        <f t="shared" si="34"/>
        <v>0</v>
      </c>
      <c r="BH14" s="36">
        <f t="shared" si="35"/>
        <v>0</v>
      </c>
      <c r="BI14" s="35">
        <f t="shared" si="36"/>
        <v>0</v>
      </c>
      <c r="BJ14" s="5">
        <f t="shared" si="37"/>
        <v>422161.91999999998</v>
      </c>
      <c r="BL14" s="77">
        <f t="shared" si="38"/>
        <v>422161.91999999998</v>
      </c>
      <c r="BM14" t="b">
        <f t="shared" si="39"/>
        <v>1</v>
      </c>
    </row>
    <row r="15" spans="1:65" ht="48">
      <c r="A15" s="229" t="s">
        <v>79</v>
      </c>
      <c r="B15" s="32" t="s">
        <v>80</v>
      </c>
      <c r="C15" s="33">
        <v>2521695</v>
      </c>
      <c r="D15" s="27" t="s">
        <v>81</v>
      </c>
      <c r="E15" s="25" t="s">
        <v>58</v>
      </c>
      <c r="F15" s="24" t="s">
        <v>59</v>
      </c>
      <c r="G15" s="24" t="s">
        <v>56</v>
      </c>
      <c r="H15" s="26">
        <v>0</v>
      </c>
      <c r="I15" s="18">
        <f t="shared" si="0"/>
        <v>0</v>
      </c>
      <c r="J15" s="17">
        <v>0</v>
      </c>
      <c r="K15" s="18">
        <f t="shared" si="1"/>
        <v>0</v>
      </c>
      <c r="L15" s="17">
        <v>0</v>
      </c>
      <c r="M15" s="18">
        <f t="shared" si="2"/>
        <v>0</v>
      </c>
      <c r="N15" s="17">
        <f t="shared" si="3"/>
        <v>0</v>
      </c>
      <c r="O15" s="18">
        <f t="shared" si="4"/>
        <v>0</v>
      </c>
      <c r="P15" s="19">
        <v>10</v>
      </c>
      <c r="Q15" s="20">
        <f t="shared" si="5"/>
        <v>930750</v>
      </c>
      <c r="R15" s="19">
        <v>10</v>
      </c>
      <c r="S15" s="20">
        <f t="shared" si="6"/>
        <v>620500</v>
      </c>
      <c r="T15" s="19">
        <f t="shared" si="7"/>
        <v>20</v>
      </c>
      <c r="U15" s="20">
        <f t="shared" si="8"/>
        <v>1551250</v>
      </c>
      <c r="V15" s="17">
        <v>20</v>
      </c>
      <c r="W15" s="18">
        <f t="shared" si="9"/>
        <v>1116900</v>
      </c>
      <c r="X15" s="17">
        <f t="shared" si="10"/>
        <v>20</v>
      </c>
      <c r="Y15" s="18">
        <f t="shared" si="11"/>
        <v>1116900</v>
      </c>
      <c r="Z15" s="19">
        <v>0</v>
      </c>
      <c r="AA15" s="20">
        <f t="shared" si="12"/>
        <v>0</v>
      </c>
      <c r="AB15" s="19">
        <v>0</v>
      </c>
      <c r="AC15" s="20">
        <f t="shared" si="13"/>
        <v>0</v>
      </c>
      <c r="AD15" s="19">
        <f t="shared" si="14"/>
        <v>0</v>
      </c>
      <c r="AE15" s="20">
        <f t="shared" si="15"/>
        <v>0</v>
      </c>
      <c r="AF15" s="17">
        <v>0</v>
      </c>
      <c r="AG15" s="18">
        <f t="shared" si="16"/>
        <v>0</v>
      </c>
      <c r="AH15" s="17">
        <v>0</v>
      </c>
      <c r="AI15" s="18">
        <f t="shared" si="17"/>
        <v>0</v>
      </c>
      <c r="AJ15" s="17">
        <f t="shared" si="18"/>
        <v>0</v>
      </c>
      <c r="AK15" s="18">
        <f t="shared" si="19"/>
        <v>0</v>
      </c>
      <c r="AL15" s="19">
        <v>0</v>
      </c>
      <c r="AM15" s="20">
        <f t="shared" si="20"/>
        <v>0</v>
      </c>
      <c r="AN15" s="19">
        <v>0</v>
      </c>
      <c r="AO15" s="20">
        <f t="shared" si="21"/>
        <v>0</v>
      </c>
      <c r="AP15" s="19">
        <f t="shared" si="22"/>
        <v>0</v>
      </c>
      <c r="AQ15" s="20">
        <f t="shared" si="23"/>
        <v>0</v>
      </c>
      <c r="AR15" s="17">
        <v>0</v>
      </c>
      <c r="AS15" s="18">
        <f t="shared" si="24"/>
        <v>0</v>
      </c>
      <c r="AT15" s="17">
        <v>0</v>
      </c>
      <c r="AU15" s="18">
        <f t="shared" si="25"/>
        <v>0</v>
      </c>
      <c r="AV15" s="17">
        <f t="shared" si="26"/>
        <v>0</v>
      </c>
      <c r="AW15" s="18">
        <f t="shared" si="27"/>
        <v>0</v>
      </c>
      <c r="AX15" s="19">
        <v>0</v>
      </c>
      <c r="AY15" s="20">
        <f t="shared" si="28"/>
        <v>0</v>
      </c>
      <c r="AZ15" s="19">
        <f t="shared" si="29"/>
        <v>0</v>
      </c>
      <c r="BA15" s="20">
        <f t="shared" si="30"/>
        <v>0</v>
      </c>
      <c r="BB15" s="17">
        <v>0</v>
      </c>
      <c r="BC15" s="18">
        <f t="shared" si="31"/>
        <v>0</v>
      </c>
      <c r="BD15" s="17">
        <f t="shared" si="32"/>
        <v>0</v>
      </c>
      <c r="BE15" s="18">
        <f t="shared" si="33"/>
        <v>0</v>
      </c>
      <c r="BF15" s="36">
        <v>0</v>
      </c>
      <c r="BG15" s="35">
        <f t="shared" si="34"/>
        <v>0</v>
      </c>
      <c r="BH15" s="36">
        <f t="shared" si="35"/>
        <v>0</v>
      </c>
      <c r="BI15" s="35">
        <f t="shared" si="36"/>
        <v>0</v>
      </c>
      <c r="BJ15" s="5">
        <f t="shared" si="37"/>
        <v>2668150</v>
      </c>
      <c r="BL15" s="77">
        <f t="shared" si="38"/>
        <v>2668150</v>
      </c>
      <c r="BM15" t="b">
        <f t="shared" si="39"/>
        <v>1</v>
      </c>
    </row>
    <row r="16" spans="1:65" ht="48">
      <c r="A16" s="229"/>
      <c r="B16" s="32" t="s">
        <v>82</v>
      </c>
      <c r="C16" s="33">
        <v>2521792</v>
      </c>
      <c r="D16" s="27" t="s">
        <v>83</v>
      </c>
      <c r="E16" s="25" t="s">
        <v>58</v>
      </c>
      <c r="F16" s="24" t="s">
        <v>59</v>
      </c>
      <c r="G16" s="31" t="s">
        <v>56</v>
      </c>
      <c r="H16" s="26">
        <v>0</v>
      </c>
      <c r="I16" s="18">
        <f t="shared" si="0"/>
        <v>0</v>
      </c>
      <c r="J16" s="17">
        <v>0</v>
      </c>
      <c r="K16" s="18">
        <f t="shared" si="1"/>
        <v>0</v>
      </c>
      <c r="L16" s="17">
        <v>0</v>
      </c>
      <c r="M16" s="18">
        <f t="shared" si="2"/>
        <v>0</v>
      </c>
      <c r="N16" s="17">
        <f t="shared" si="3"/>
        <v>0</v>
      </c>
      <c r="O16" s="18">
        <f t="shared" si="4"/>
        <v>0</v>
      </c>
      <c r="P16" s="19">
        <v>0</v>
      </c>
      <c r="Q16" s="20">
        <f t="shared" si="5"/>
        <v>0</v>
      </c>
      <c r="R16" s="19">
        <v>0</v>
      </c>
      <c r="S16" s="20">
        <f t="shared" si="6"/>
        <v>0</v>
      </c>
      <c r="T16" s="19">
        <f t="shared" si="7"/>
        <v>0</v>
      </c>
      <c r="U16" s="20">
        <f t="shared" si="8"/>
        <v>0</v>
      </c>
      <c r="V16" s="17">
        <v>0</v>
      </c>
      <c r="W16" s="18">
        <f t="shared" si="9"/>
        <v>0</v>
      </c>
      <c r="X16" s="17">
        <f t="shared" si="10"/>
        <v>0</v>
      </c>
      <c r="Y16" s="18">
        <f t="shared" si="11"/>
        <v>0</v>
      </c>
      <c r="Z16" s="19">
        <v>0</v>
      </c>
      <c r="AA16" s="20">
        <f t="shared" si="12"/>
        <v>0</v>
      </c>
      <c r="AB16" s="19">
        <v>5</v>
      </c>
      <c r="AC16" s="20">
        <f t="shared" si="13"/>
        <v>527702.4</v>
      </c>
      <c r="AD16" s="19">
        <f t="shared" si="14"/>
        <v>5</v>
      </c>
      <c r="AE16" s="20">
        <f t="shared" si="15"/>
        <v>527702.4</v>
      </c>
      <c r="AF16" s="17">
        <v>0</v>
      </c>
      <c r="AG16" s="18">
        <f t="shared" si="16"/>
        <v>0</v>
      </c>
      <c r="AH16" s="17">
        <v>0</v>
      </c>
      <c r="AI16" s="18">
        <f t="shared" si="17"/>
        <v>0</v>
      </c>
      <c r="AJ16" s="17">
        <f t="shared" si="18"/>
        <v>0</v>
      </c>
      <c r="AK16" s="18">
        <f t="shared" si="19"/>
        <v>0</v>
      </c>
      <c r="AL16" s="19">
        <v>0</v>
      </c>
      <c r="AM16" s="20">
        <f t="shared" si="20"/>
        <v>0</v>
      </c>
      <c r="AN16" s="19">
        <v>0</v>
      </c>
      <c r="AO16" s="20">
        <f t="shared" si="21"/>
        <v>0</v>
      </c>
      <c r="AP16" s="19">
        <f t="shared" si="22"/>
        <v>0</v>
      </c>
      <c r="AQ16" s="20">
        <f t="shared" si="23"/>
        <v>0</v>
      </c>
      <c r="AR16" s="17">
        <v>0</v>
      </c>
      <c r="AS16" s="18">
        <f t="shared" si="24"/>
        <v>0</v>
      </c>
      <c r="AT16" s="17">
        <v>0</v>
      </c>
      <c r="AU16" s="18">
        <f t="shared" si="25"/>
        <v>0</v>
      </c>
      <c r="AV16" s="17">
        <f t="shared" si="26"/>
        <v>0</v>
      </c>
      <c r="AW16" s="18">
        <f t="shared" si="27"/>
        <v>0</v>
      </c>
      <c r="AX16" s="19">
        <v>0</v>
      </c>
      <c r="AY16" s="20">
        <f t="shared" si="28"/>
        <v>0</v>
      </c>
      <c r="AZ16" s="19">
        <f t="shared" si="29"/>
        <v>0</v>
      </c>
      <c r="BA16" s="20">
        <f t="shared" si="30"/>
        <v>0</v>
      </c>
      <c r="BB16" s="17">
        <v>0</v>
      </c>
      <c r="BC16" s="18">
        <f t="shared" si="31"/>
        <v>0</v>
      </c>
      <c r="BD16" s="17">
        <f t="shared" si="32"/>
        <v>0</v>
      </c>
      <c r="BE16" s="18">
        <f t="shared" si="33"/>
        <v>0</v>
      </c>
      <c r="BF16" s="36">
        <v>0</v>
      </c>
      <c r="BG16" s="35">
        <f t="shared" si="34"/>
        <v>0</v>
      </c>
      <c r="BH16" s="36">
        <f t="shared" si="35"/>
        <v>0</v>
      </c>
      <c r="BI16" s="35">
        <f t="shared" si="36"/>
        <v>0</v>
      </c>
      <c r="BJ16" s="5">
        <f t="shared" si="37"/>
        <v>527702.4</v>
      </c>
      <c r="BL16" s="77">
        <f t="shared" si="38"/>
        <v>527702.4</v>
      </c>
      <c r="BM16" t="b">
        <f t="shared" si="39"/>
        <v>1</v>
      </c>
    </row>
    <row r="17" spans="1:65" ht="48">
      <c r="A17" s="229"/>
      <c r="B17" s="32" t="s">
        <v>84</v>
      </c>
      <c r="C17" s="33">
        <v>2379333</v>
      </c>
      <c r="D17" s="27" t="s">
        <v>85</v>
      </c>
      <c r="E17" s="25" t="s">
        <v>58</v>
      </c>
      <c r="F17" s="31" t="s">
        <v>59</v>
      </c>
      <c r="G17" s="31" t="s">
        <v>62</v>
      </c>
      <c r="H17" s="26">
        <v>0</v>
      </c>
      <c r="I17" s="18">
        <f t="shared" si="0"/>
        <v>0</v>
      </c>
      <c r="J17" s="17">
        <v>0</v>
      </c>
      <c r="K17" s="18">
        <f t="shared" si="1"/>
        <v>0</v>
      </c>
      <c r="L17" s="17">
        <v>0</v>
      </c>
      <c r="M17" s="18">
        <f t="shared" si="2"/>
        <v>0</v>
      </c>
      <c r="N17" s="17">
        <f t="shared" si="3"/>
        <v>0</v>
      </c>
      <c r="O17" s="18">
        <f t="shared" si="4"/>
        <v>0</v>
      </c>
      <c r="P17" s="19">
        <v>0</v>
      </c>
      <c r="Q17" s="20">
        <f t="shared" si="5"/>
        <v>0</v>
      </c>
      <c r="R17" s="19">
        <v>0</v>
      </c>
      <c r="S17" s="20">
        <f t="shared" si="6"/>
        <v>0</v>
      </c>
      <c r="T17" s="19">
        <f t="shared" si="7"/>
        <v>0</v>
      </c>
      <c r="U17" s="20">
        <f t="shared" si="8"/>
        <v>0</v>
      </c>
      <c r="V17" s="17">
        <v>0</v>
      </c>
      <c r="W17" s="18">
        <f t="shared" si="9"/>
        <v>0</v>
      </c>
      <c r="X17" s="17">
        <f t="shared" si="10"/>
        <v>0</v>
      </c>
      <c r="Y17" s="18">
        <f t="shared" si="11"/>
        <v>0</v>
      </c>
      <c r="Z17" s="19">
        <v>4</v>
      </c>
      <c r="AA17" s="20">
        <f t="shared" si="12"/>
        <v>1051200</v>
      </c>
      <c r="AB17" s="19">
        <v>3</v>
      </c>
      <c r="AC17" s="20">
        <f t="shared" si="13"/>
        <v>316621.44</v>
      </c>
      <c r="AD17" s="19">
        <f t="shared" si="14"/>
        <v>7</v>
      </c>
      <c r="AE17" s="20">
        <f t="shared" si="15"/>
        <v>1367821.44</v>
      </c>
      <c r="AF17" s="17">
        <v>0</v>
      </c>
      <c r="AG17" s="18">
        <f t="shared" si="16"/>
        <v>0</v>
      </c>
      <c r="AH17" s="17">
        <v>0</v>
      </c>
      <c r="AI17" s="18">
        <f t="shared" si="17"/>
        <v>0</v>
      </c>
      <c r="AJ17" s="17">
        <f t="shared" si="18"/>
        <v>0</v>
      </c>
      <c r="AK17" s="18">
        <f t="shared" si="19"/>
        <v>0</v>
      </c>
      <c r="AL17" s="19">
        <v>0</v>
      </c>
      <c r="AM17" s="20">
        <f t="shared" si="20"/>
        <v>0</v>
      </c>
      <c r="AN17" s="19">
        <v>0</v>
      </c>
      <c r="AO17" s="20">
        <f t="shared" si="21"/>
        <v>0</v>
      </c>
      <c r="AP17" s="19">
        <f t="shared" si="22"/>
        <v>0</v>
      </c>
      <c r="AQ17" s="20">
        <f t="shared" si="23"/>
        <v>0</v>
      </c>
      <c r="AR17" s="17">
        <v>0</v>
      </c>
      <c r="AS17" s="18">
        <f t="shared" si="24"/>
        <v>0</v>
      </c>
      <c r="AT17" s="17">
        <v>0</v>
      </c>
      <c r="AU17" s="18">
        <f t="shared" si="25"/>
        <v>0</v>
      </c>
      <c r="AV17" s="17">
        <f t="shared" si="26"/>
        <v>0</v>
      </c>
      <c r="AW17" s="18">
        <f t="shared" si="27"/>
        <v>0</v>
      </c>
      <c r="AX17" s="19">
        <v>0</v>
      </c>
      <c r="AY17" s="20">
        <f t="shared" si="28"/>
        <v>0</v>
      </c>
      <c r="AZ17" s="19">
        <f t="shared" si="29"/>
        <v>0</v>
      </c>
      <c r="BA17" s="20">
        <f t="shared" si="30"/>
        <v>0</v>
      </c>
      <c r="BB17" s="17">
        <v>10</v>
      </c>
      <c r="BC17" s="18">
        <f t="shared" si="31"/>
        <v>1085875</v>
      </c>
      <c r="BD17" s="17">
        <f t="shared" si="32"/>
        <v>10</v>
      </c>
      <c r="BE17" s="18">
        <f t="shared" si="33"/>
        <v>1085875</v>
      </c>
      <c r="BF17" s="36">
        <v>0</v>
      </c>
      <c r="BG17" s="35">
        <f t="shared" si="34"/>
        <v>0</v>
      </c>
      <c r="BH17" s="36">
        <f t="shared" si="35"/>
        <v>0</v>
      </c>
      <c r="BI17" s="35">
        <f t="shared" si="36"/>
        <v>0</v>
      </c>
      <c r="BJ17" s="5">
        <f t="shared" si="37"/>
        <v>2453696.44</v>
      </c>
      <c r="BL17" s="77">
        <f t="shared" si="38"/>
        <v>2453696.44</v>
      </c>
      <c r="BM17" t="b">
        <f t="shared" si="39"/>
        <v>1</v>
      </c>
    </row>
    <row r="18" spans="1:65">
      <c r="A18" s="225" t="s">
        <v>5</v>
      </c>
      <c r="B18" s="225"/>
      <c r="C18" s="225"/>
      <c r="D18" s="225"/>
      <c r="E18" s="225"/>
      <c r="F18" s="225"/>
      <c r="G18" s="225"/>
      <c r="H18" s="29">
        <f t="shared" ref="H18:AG18" si="40">SUM(H4:H17)</f>
        <v>0</v>
      </c>
      <c r="I18" s="30">
        <f t="shared" si="40"/>
        <v>0</v>
      </c>
      <c r="J18" s="29">
        <f t="shared" si="40"/>
        <v>1</v>
      </c>
      <c r="K18" s="30">
        <f t="shared" si="40"/>
        <v>2400000</v>
      </c>
      <c r="L18" s="29">
        <f t="shared" si="40"/>
        <v>3</v>
      </c>
      <c r="M18" s="30">
        <f t="shared" si="40"/>
        <v>10800000</v>
      </c>
      <c r="N18" s="29">
        <f t="shared" si="40"/>
        <v>4</v>
      </c>
      <c r="O18" s="30">
        <f t="shared" si="40"/>
        <v>13200000</v>
      </c>
      <c r="P18" s="29">
        <f t="shared" si="40"/>
        <v>46</v>
      </c>
      <c r="Q18" s="30">
        <f t="shared" si="40"/>
        <v>4281450</v>
      </c>
      <c r="R18" s="34">
        <f t="shared" si="40"/>
        <v>43</v>
      </c>
      <c r="S18" s="30">
        <f t="shared" si="40"/>
        <v>2668150</v>
      </c>
      <c r="T18" s="29">
        <f t="shared" si="40"/>
        <v>89</v>
      </c>
      <c r="U18" s="30">
        <f t="shared" si="40"/>
        <v>6949600</v>
      </c>
      <c r="V18" s="34">
        <f t="shared" si="40"/>
        <v>40</v>
      </c>
      <c r="W18" s="30">
        <f t="shared" si="40"/>
        <v>2233800</v>
      </c>
      <c r="X18" s="29">
        <f t="shared" si="40"/>
        <v>40</v>
      </c>
      <c r="Y18" s="30">
        <f t="shared" si="40"/>
        <v>2233800</v>
      </c>
      <c r="Z18" s="29">
        <f t="shared" si="40"/>
        <v>42</v>
      </c>
      <c r="AA18" s="30">
        <f t="shared" si="40"/>
        <v>11037600</v>
      </c>
      <c r="AB18" s="29">
        <f t="shared" si="40"/>
        <v>48</v>
      </c>
      <c r="AC18" s="30">
        <f t="shared" si="40"/>
        <v>5065943.040000001</v>
      </c>
      <c r="AD18" s="34">
        <f t="shared" si="40"/>
        <v>90</v>
      </c>
      <c r="AE18" s="30">
        <f t="shared" si="40"/>
        <v>16103543.040000001</v>
      </c>
      <c r="AF18" s="29">
        <f t="shared" si="40"/>
        <v>0</v>
      </c>
      <c r="AG18" s="30">
        <f t="shared" si="40"/>
        <v>0</v>
      </c>
      <c r="AH18" s="30">
        <v>0</v>
      </c>
      <c r="AI18" s="30">
        <f t="shared" ref="AI18:BE18" si="41">SUM(AI4:AI17)</f>
        <v>0</v>
      </c>
      <c r="AJ18" s="29">
        <f t="shared" si="41"/>
        <v>0</v>
      </c>
      <c r="AK18" s="30">
        <f t="shared" si="41"/>
        <v>0</v>
      </c>
      <c r="AL18" s="29">
        <f t="shared" si="41"/>
        <v>0</v>
      </c>
      <c r="AM18" s="30">
        <f t="shared" si="41"/>
        <v>0</v>
      </c>
      <c r="AN18" s="29">
        <f t="shared" si="41"/>
        <v>8</v>
      </c>
      <c r="AO18" s="30">
        <f t="shared" si="41"/>
        <v>844323.83999999997</v>
      </c>
      <c r="AP18" s="34">
        <f t="shared" si="41"/>
        <v>8</v>
      </c>
      <c r="AQ18" s="30">
        <f t="shared" si="41"/>
        <v>844323.83999999997</v>
      </c>
      <c r="AR18" s="29">
        <f t="shared" si="41"/>
        <v>0</v>
      </c>
      <c r="AS18" s="30">
        <f t="shared" si="41"/>
        <v>0</v>
      </c>
      <c r="AT18" s="29">
        <f t="shared" si="41"/>
        <v>0</v>
      </c>
      <c r="AU18" s="30">
        <f t="shared" si="41"/>
        <v>0</v>
      </c>
      <c r="AV18" s="29">
        <f t="shared" si="41"/>
        <v>0</v>
      </c>
      <c r="AW18" s="30">
        <f t="shared" si="41"/>
        <v>0</v>
      </c>
      <c r="AX18" s="29">
        <f t="shared" si="41"/>
        <v>0</v>
      </c>
      <c r="AY18" s="30">
        <f t="shared" si="41"/>
        <v>0</v>
      </c>
      <c r="AZ18" s="29">
        <f t="shared" si="41"/>
        <v>0</v>
      </c>
      <c r="BA18" s="30">
        <f t="shared" si="41"/>
        <v>0</v>
      </c>
      <c r="BB18" s="29">
        <f t="shared" si="41"/>
        <v>31</v>
      </c>
      <c r="BC18" s="30">
        <f t="shared" si="41"/>
        <v>3366212.5</v>
      </c>
      <c r="BD18" s="29">
        <f t="shared" si="41"/>
        <v>31</v>
      </c>
      <c r="BE18" s="30">
        <f t="shared" si="41"/>
        <v>3366212.5</v>
      </c>
      <c r="BF18" s="104">
        <f>SUM(BF4:BF17)</f>
        <v>10</v>
      </c>
      <c r="BG18" s="30">
        <f>SUM(BG4:BG17)</f>
        <v>2628000</v>
      </c>
      <c r="BH18" s="104">
        <f>SUM(BH4:BH17)</f>
        <v>10</v>
      </c>
      <c r="BI18" s="30">
        <f>SUM(BI4:BI17)</f>
        <v>2628000</v>
      </c>
      <c r="BJ18" s="30">
        <f>SUM(BJ4:BJ17)</f>
        <v>45325479.380000003</v>
      </c>
      <c r="BL18" s="77">
        <f>SUM(BL4:BL17)</f>
        <v>44549854.380000003</v>
      </c>
      <c r="BM18" t="b">
        <f t="shared" si="39"/>
        <v>0</v>
      </c>
    </row>
    <row r="20" spans="1:65">
      <c r="M20" s="77"/>
      <c r="Z20" s="29">
        <v>0</v>
      </c>
      <c r="AA20" s="30">
        <v>0</v>
      </c>
      <c r="AB20" s="29"/>
      <c r="AC20" s="30"/>
      <c r="AD20" s="34"/>
      <c r="AE20" s="30"/>
    </row>
    <row r="21" spans="1:65">
      <c r="AG21" s="30"/>
    </row>
    <row r="22" spans="1:65">
      <c r="Z22" s="109"/>
      <c r="AA22" s="77"/>
      <c r="AB22" s="109"/>
      <c r="AC22" s="77"/>
      <c r="AD22" s="108"/>
      <c r="AE22" s="77"/>
      <c r="AG22" s="77"/>
    </row>
    <row r="23" spans="1:65">
      <c r="Q23" s="77"/>
      <c r="U23" s="77"/>
      <c r="AE23" s="77">
        <f>AE18+AQ18</f>
        <v>16947866.880000003</v>
      </c>
      <c r="AG23" s="77"/>
    </row>
    <row r="24" spans="1:65">
      <c r="AE24" s="77"/>
      <c r="AF24" s="112"/>
    </row>
    <row r="25" spans="1:65">
      <c r="M25" s="1"/>
      <c r="N25" s="1"/>
      <c r="O25" s="1"/>
      <c r="U25" s="77"/>
      <c r="AC25" s="77"/>
      <c r="AF25" s="105"/>
    </row>
    <row r="26" spans="1:65">
      <c r="AF26" s="112"/>
      <c r="AG26" s="111"/>
    </row>
    <row r="27" spans="1:65">
      <c r="AB27" s="109"/>
      <c r="AG27" s="77"/>
    </row>
  </sheetData>
  <protectedRanges>
    <protectedRange sqref="A4:A9 A11:A17 B4:G17" name="informações"/>
  </protectedRanges>
  <mergeCells count="51">
    <mergeCell ref="P1:U1"/>
    <mergeCell ref="T2:U2"/>
    <mergeCell ref="A9:A11"/>
    <mergeCell ref="BB1:BE1"/>
    <mergeCell ref="BB2:BC2"/>
    <mergeCell ref="BD2:BE2"/>
    <mergeCell ref="J2:K2"/>
    <mergeCell ref="AZ2:BA2"/>
    <mergeCell ref="H1:O1"/>
    <mergeCell ref="N2:O2"/>
    <mergeCell ref="H2:I2"/>
    <mergeCell ref="L2:M2"/>
    <mergeCell ref="C2:C3"/>
    <mergeCell ref="A1:G1"/>
    <mergeCell ref="A15:A17"/>
    <mergeCell ref="A12:A14"/>
    <mergeCell ref="G2:G3"/>
    <mergeCell ref="F2:F3"/>
    <mergeCell ref="P2:Q2"/>
    <mergeCell ref="V2:W2"/>
    <mergeCell ref="R2:S2"/>
    <mergeCell ref="Z2:AA2"/>
    <mergeCell ref="Z1:AE1"/>
    <mergeCell ref="AF1:AK1"/>
    <mergeCell ref="AH2:AI2"/>
    <mergeCell ref="A18:G18"/>
    <mergeCell ref="A2:A3"/>
    <mergeCell ref="B2:B3"/>
    <mergeCell ref="D2:D3"/>
    <mergeCell ref="E2:E3"/>
    <mergeCell ref="A4:A8"/>
    <mergeCell ref="AN2:AO2"/>
    <mergeCell ref="AX1:BA1"/>
    <mergeCell ref="AX2:AY2"/>
    <mergeCell ref="AL2:AM2"/>
    <mergeCell ref="AP2:AQ2"/>
    <mergeCell ref="X2:Y2"/>
    <mergeCell ref="V1:Y1"/>
    <mergeCell ref="AD2:AE2"/>
    <mergeCell ref="AF2:AG2"/>
    <mergeCell ref="AB2:AC2"/>
    <mergeCell ref="AV2:AW2"/>
    <mergeCell ref="AR1:AW1"/>
    <mergeCell ref="AR2:AS2"/>
    <mergeCell ref="AT2:AU2"/>
    <mergeCell ref="BJ1:BJ3"/>
    <mergeCell ref="AJ2:AK2"/>
    <mergeCell ref="BF1:BI1"/>
    <mergeCell ref="BF2:BG2"/>
    <mergeCell ref="BH2:BI2"/>
    <mergeCell ref="AL1:AQ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27"/>
  <sheetViews>
    <sheetView zoomScaleNormal="100" workbookViewId="0">
      <pane xSplit="4" ySplit="3" topLeftCell="BC13" activePane="bottomRight" state="frozen"/>
      <selection pane="topRight" activeCell="E1" sqref="E1"/>
      <selection pane="bottomLeft" activeCell="A4" sqref="A4"/>
      <selection pane="bottomRight" activeCell="AJ21" sqref="AJ21:AK31"/>
    </sheetView>
  </sheetViews>
  <sheetFormatPr defaultRowHeight="15"/>
  <cols>
    <col min="1" max="1" width="8.85546875" customWidth="1"/>
    <col min="2" max="2" width="16.28515625" customWidth="1"/>
    <col min="3" max="3" width="9" customWidth="1"/>
    <col min="4" max="4" width="10.140625" customWidth="1"/>
    <col min="5" max="5" width="13.7109375" bestFit="1" customWidth="1"/>
    <col min="6" max="6" width="14.42578125" bestFit="1" customWidth="1"/>
    <col min="7" max="7" width="13.7109375" bestFit="1" customWidth="1"/>
    <col min="8" max="8" width="7.140625" bestFit="1" customWidth="1"/>
    <col min="9" max="9" width="11.140625" bestFit="1" customWidth="1"/>
    <col min="10" max="10" width="7.140625" bestFit="1" customWidth="1"/>
    <col min="11" max="11" width="11.140625" bestFit="1" customWidth="1"/>
    <col min="12" max="12" width="7.140625" bestFit="1" customWidth="1"/>
    <col min="13" max="13" width="14.28515625" bestFit="1" customWidth="1"/>
    <col min="14" max="14" width="12.85546875" customWidth="1"/>
    <col min="15" max="15" width="14.28515625" bestFit="1" customWidth="1"/>
    <col min="16" max="16" width="11.85546875" customWidth="1"/>
    <col min="17" max="17" width="13.140625" customWidth="1"/>
    <col min="19" max="19" width="12.42578125" customWidth="1"/>
    <col min="20" max="20" width="7" customWidth="1"/>
    <col min="21" max="21" width="13.28515625" bestFit="1" customWidth="1"/>
    <col min="22" max="22" width="7.140625" bestFit="1" customWidth="1"/>
    <col min="23" max="23" width="12.42578125" customWidth="1"/>
    <col min="24" max="24" width="7.140625" bestFit="1" customWidth="1"/>
    <col min="25" max="25" width="12.42578125" customWidth="1"/>
    <col min="26" max="26" width="6.42578125" bestFit="1" customWidth="1"/>
    <col min="27" max="27" width="14.28515625" bestFit="1" customWidth="1"/>
    <col min="28" max="28" width="6.42578125" bestFit="1" customWidth="1"/>
    <col min="29" max="29" width="14.28515625" bestFit="1" customWidth="1"/>
    <col min="30" max="30" width="6" bestFit="1" customWidth="1"/>
    <col min="31" max="31" width="14.28515625" bestFit="1" customWidth="1"/>
    <col min="32" max="32" width="11.7109375" bestFit="1" customWidth="1"/>
    <col min="33" max="33" width="14.5703125" customWidth="1"/>
    <col min="34" max="34" width="6.42578125" bestFit="1" customWidth="1"/>
    <col min="35" max="35" width="10" bestFit="1" customWidth="1"/>
    <col min="36" max="36" width="6" bestFit="1" customWidth="1"/>
    <col min="37" max="37" width="10" bestFit="1" customWidth="1"/>
    <col min="38" max="38" width="11" customWidth="1"/>
    <col min="39" max="39" width="14.7109375" customWidth="1"/>
    <col min="40" max="43" width="10" customWidth="1"/>
    <col min="44" max="44" width="11" customWidth="1"/>
    <col min="45" max="45" width="13.28515625" customWidth="1"/>
    <col min="46" max="47" width="10" customWidth="1"/>
    <col min="48" max="48" width="6" bestFit="1" customWidth="1"/>
    <col min="49" max="49" width="10" bestFit="1" customWidth="1"/>
    <col min="50" max="51" width="10" customWidth="1"/>
    <col min="52" max="52" width="7.85546875" customWidth="1"/>
    <col min="53" max="53" width="10" bestFit="1" customWidth="1"/>
    <col min="54" max="54" width="10" customWidth="1"/>
    <col min="55" max="55" width="11.140625" bestFit="1" customWidth="1"/>
    <col min="56" max="56" width="6" bestFit="1" customWidth="1"/>
    <col min="57" max="57" width="11.140625" bestFit="1" customWidth="1"/>
    <col min="58" max="61" width="11.140625" customWidth="1"/>
    <col min="62" max="62" width="17" bestFit="1" customWidth="1"/>
    <col min="64" max="64" width="14.28515625" bestFit="1" customWidth="1"/>
    <col min="65" max="65" width="12.42578125" bestFit="1" customWidth="1"/>
  </cols>
  <sheetData>
    <row r="1" spans="1:65" ht="30" customHeight="1">
      <c r="A1" s="195" t="s">
        <v>7</v>
      </c>
      <c r="B1" s="196"/>
      <c r="C1" s="196"/>
      <c r="D1" s="196"/>
      <c r="E1" s="196"/>
      <c r="F1" s="196"/>
      <c r="G1" s="214"/>
      <c r="H1" s="200" t="s">
        <v>37</v>
      </c>
      <c r="I1" s="201"/>
      <c r="J1" s="201"/>
      <c r="K1" s="201"/>
      <c r="L1" s="201"/>
      <c r="M1" s="201"/>
      <c r="N1" s="201"/>
      <c r="O1" s="202"/>
      <c r="P1" s="197" t="s">
        <v>21</v>
      </c>
      <c r="Q1" s="198"/>
      <c r="R1" s="198"/>
      <c r="S1" s="198"/>
      <c r="T1" s="198"/>
      <c r="U1" s="199"/>
      <c r="V1" s="200" t="s">
        <v>24</v>
      </c>
      <c r="W1" s="201"/>
      <c r="X1" s="201"/>
      <c r="Y1" s="201"/>
      <c r="Z1" s="197" t="s">
        <v>25</v>
      </c>
      <c r="AA1" s="198"/>
      <c r="AB1" s="198"/>
      <c r="AC1" s="198"/>
      <c r="AD1" s="198"/>
      <c r="AE1" s="199"/>
      <c r="AF1" s="200" t="s">
        <v>26</v>
      </c>
      <c r="AG1" s="201"/>
      <c r="AH1" s="201"/>
      <c r="AI1" s="201"/>
      <c r="AJ1" s="201"/>
      <c r="AK1" s="202"/>
      <c r="AL1" s="197" t="s">
        <v>27</v>
      </c>
      <c r="AM1" s="198"/>
      <c r="AN1" s="198"/>
      <c r="AO1" s="198"/>
      <c r="AP1" s="198"/>
      <c r="AQ1" s="199"/>
      <c r="AR1" s="200" t="s">
        <v>28</v>
      </c>
      <c r="AS1" s="201"/>
      <c r="AT1" s="201"/>
      <c r="AU1" s="201"/>
      <c r="AV1" s="201"/>
      <c r="AW1" s="202"/>
      <c r="AX1" s="197" t="s">
        <v>41</v>
      </c>
      <c r="AY1" s="198"/>
      <c r="AZ1" s="198"/>
      <c r="BA1" s="198"/>
      <c r="BB1" s="200" t="s">
        <v>43</v>
      </c>
      <c r="BC1" s="201"/>
      <c r="BD1" s="201"/>
      <c r="BE1" s="201"/>
      <c r="BF1" s="197" t="s">
        <v>86</v>
      </c>
      <c r="BG1" s="198"/>
      <c r="BH1" s="198"/>
      <c r="BI1" s="198"/>
      <c r="BJ1" s="222" t="s">
        <v>19</v>
      </c>
    </row>
    <row r="2" spans="1:65" ht="36.75" customHeight="1">
      <c r="A2" s="206" t="s">
        <v>0</v>
      </c>
      <c r="B2" s="208" t="s">
        <v>1</v>
      </c>
      <c r="C2" s="206" t="s">
        <v>44</v>
      </c>
      <c r="D2" s="206" t="s">
        <v>2</v>
      </c>
      <c r="E2" s="206" t="s">
        <v>4</v>
      </c>
      <c r="F2" s="206" t="s">
        <v>2</v>
      </c>
      <c r="G2" s="206" t="s">
        <v>3</v>
      </c>
      <c r="H2" s="212" t="s">
        <v>38</v>
      </c>
      <c r="I2" s="212"/>
      <c r="J2" s="212" t="s">
        <v>39</v>
      </c>
      <c r="K2" s="212"/>
      <c r="L2" s="212" t="s">
        <v>40</v>
      </c>
      <c r="M2" s="212"/>
      <c r="N2" s="230" t="s">
        <v>5</v>
      </c>
      <c r="O2" s="231"/>
      <c r="P2" s="210" t="s">
        <v>22</v>
      </c>
      <c r="Q2" s="211"/>
      <c r="R2" s="210" t="s">
        <v>23</v>
      </c>
      <c r="S2" s="211"/>
      <c r="T2" s="210" t="s">
        <v>5</v>
      </c>
      <c r="U2" s="211"/>
      <c r="V2" s="212" t="s">
        <v>22</v>
      </c>
      <c r="W2" s="212"/>
      <c r="X2" s="212" t="s">
        <v>5</v>
      </c>
      <c r="Y2" s="212"/>
      <c r="Z2" s="210" t="s">
        <v>22</v>
      </c>
      <c r="AA2" s="211"/>
      <c r="AB2" s="210" t="s">
        <v>20</v>
      </c>
      <c r="AC2" s="211"/>
      <c r="AD2" s="210" t="s">
        <v>5</v>
      </c>
      <c r="AE2" s="211"/>
      <c r="AF2" s="212" t="s">
        <v>22</v>
      </c>
      <c r="AG2" s="212"/>
      <c r="AH2" s="212" t="s">
        <v>20</v>
      </c>
      <c r="AI2" s="212"/>
      <c r="AJ2" s="212" t="s">
        <v>5</v>
      </c>
      <c r="AK2" s="212"/>
      <c r="AL2" s="210" t="s">
        <v>22</v>
      </c>
      <c r="AM2" s="211"/>
      <c r="AN2" s="210" t="s">
        <v>20</v>
      </c>
      <c r="AO2" s="211"/>
      <c r="AP2" s="210" t="s">
        <v>5</v>
      </c>
      <c r="AQ2" s="211"/>
      <c r="AR2" s="212" t="s">
        <v>22</v>
      </c>
      <c r="AS2" s="212"/>
      <c r="AT2" s="212" t="s">
        <v>20</v>
      </c>
      <c r="AU2" s="212"/>
      <c r="AV2" s="212" t="s">
        <v>5</v>
      </c>
      <c r="AW2" s="212"/>
      <c r="AX2" s="210" t="s">
        <v>42</v>
      </c>
      <c r="AY2" s="211"/>
      <c r="AZ2" s="210" t="s">
        <v>5</v>
      </c>
      <c r="BA2" s="211"/>
      <c r="BB2" s="212" t="s">
        <v>42</v>
      </c>
      <c r="BC2" s="212"/>
      <c r="BD2" s="212" t="s">
        <v>5</v>
      </c>
      <c r="BE2" s="212"/>
      <c r="BF2" s="210" t="s">
        <v>42</v>
      </c>
      <c r="BG2" s="211"/>
      <c r="BH2" s="210" t="s">
        <v>5</v>
      </c>
      <c r="BI2" s="211"/>
      <c r="BJ2" s="223"/>
      <c r="BL2" s="77"/>
    </row>
    <row r="3" spans="1:65" ht="22.5" customHeight="1">
      <c r="A3" s="226"/>
      <c r="B3" s="227"/>
      <c r="C3" s="226"/>
      <c r="D3" s="226"/>
      <c r="E3" s="226"/>
      <c r="F3" s="226"/>
      <c r="G3" s="226"/>
      <c r="H3" s="15" t="s">
        <v>18</v>
      </c>
      <c r="I3" s="16" t="s">
        <v>6</v>
      </c>
      <c r="J3" s="15" t="s">
        <v>18</v>
      </c>
      <c r="K3" s="16" t="s">
        <v>6</v>
      </c>
      <c r="L3" s="15" t="s">
        <v>18</v>
      </c>
      <c r="M3" s="16" t="s">
        <v>6</v>
      </c>
      <c r="N3" s="15" t="s">
        <v>9</v>
      </c>
      <c r="O3" s="16" t="s">
        <v>6</v>
      </c>
      <c r="P3" s="11" t="s">
        <v>18</v>
      </c>
      <c r="Q3" s="12" t="s">
        <v>6</v>
      </c>
      <c r="R3" s="11" t="s">
        <v>18</v>
      </c>
      <c r="S3" s="12" t="s">
        <v>6</v>
      </c>
      <c r="T3" s="13" t="s">
        <v>9</v>
      </c>
      <c r="U3" s="14" t="s">
        <v>6</v>
      </c>
      <c r="V3" s="15" t="s">
        <v>18</v>
      </c>
      <c r="W3" s="16" t="s">
        <v>6</v>
      </c>
      <c r="X3" s="15" t="s">
        <v>9</v>
      </c>
      <c r="Y3" s="16" t="s">
        <v>6</v>
      </c>
      <c r="Z3" s="11" t="s">
        <v>18</v>
      </c>
      <c r="AA3" s="12" t="s">
        <v>6</v>
      </c>
      <c r="AB3" s="11" t="s">
        <v>18</v>
      </c>
      <c r="AC3" s="12" t="s">
        <v>6</v>
      </c>
      <c r="AD3" s="13" t="s">
        <v>9</v>
      </c>
      <c r="AE3" s="14" t="s">
        <v>6</v>
      </c>
      <c r="AF3" s="15" t="s">
        <v>18</v>
      </c>
      <c r="AG3" s="16" t="s">
        <v>6</v>
      </c>
      <c r="AH3" s="15" t="s">
        <v>18</v>
      </c>
      <c r="AI3" s="16" t="s">
        <v>6</v>
      </c>
      <c r="AJ3" s="15" t="s">
        <v>9</v>
      </c>
      <c r="AK3" s="16" t="s">
        <v>6</v>
      </c>
      <c r="AL3" s="11" t="s">
        <v>18</v>
      </c>
      <c r="AM3" s="12" t="s">
        <v>6</v>
      </c>
      <c r="AN3" s="11" t="s">
        <v>18</v>
      </c>
      <c r="AO3" s="12" t="s">
        <v>6</v>
      </c>
      <c r="AP3" s="13" t="s">
        <v>9</v>
      </c>
      <c r="AQ3" s="14" t="s">
        <v>6</v>
      </c>
      <c r="AR3" s="15" t="s">
        <v>18</v>
      </c>
      <c r="AS3" s="16" t="s">
        <v>6</v>
      </c>
      <c r="AT3" s="15" t="s">
        <v>18</v>
      </c>
      <c r="AU3" s="16" t="s">
        <v>6</v>
      </c>
      <c r="AV3" s="15" t="s">
        <v>9</v>
      </c>
      <c r="AW3" s="16" t="s">
        <v>6</v>
      </c>
      <c r="AX3" s="11" t="s">
        <v>18</v>
      </c>
      <c r="AY3" s="12" t="s">
        <v>6</v>
      </c>
      <c r="AZ3" s="11" t="s">
        <v>9</v>
      </c>
      <c r="BA3" s="12" t="s">
        <v>6</v>
      </c>
      <c r="BB3" s="15" t="s">
        <v>18</v>
      </c>
      <c r="BC3" s="16" t="s">
        <v>6</v>
      </c>
      <c r="BD3" s="15" t="s">
        <v>9</v>
      </c>
      <c r="BE3" s="16" t="s">
        <v>6</v>
      </c>
      <c r="BF3" s="12" t="s">
        <v>18</v>
      </c>
      <c r="BG3" s="12" t="s">
        <v>6</v>
      </c>
      <c r="BH3" s="12" t="s">
        <v>9</v>
      </c>
      <c r="BI3" s="12" t="s">
        <v>6</v>
      </c>
      <c r="BJ3" s="224"/>
    </row>
    <row r="4" spans="1:65" ht="36">
      <c r="A4" s="228" t="s">
        <v>52</v>
      </c>
      <c r="B4" s="32" t="s">
        <v>53</v>
      </c>
      <c r="C4" s="33">
        <v>2436469</v>
      </c>
      <c r="D4" s="28" t="s">
        <v>54</v>
      </c>
      <c r="E4" s="25" t="s">
        <v>55</v>
      </c>
      <c r="F4" s="110" t="s">
        <v>56</v>
      </c>
      <c r="G4" s="137" t="s">
        <v>56</v>
      </c>
      <c r="H4" s="26">
        <v>0</v>
      </c>
      <c r="I4" s="18">
        <f>H4*100000*12</f>
        <v>0</v>
      </c>
      <c r="J4" s="17">
        <v>0</v>
      </c>
      <c r="K4" s="18">
        <f>J4*200000*12</f>
        <v>0</v>
      </c>
      <c r="L4" s="17">
        <v>1</v>
      </c>
      <c r="M4" s="18">
        <f>L4*300000*12</f>
        <v>3600000</v>
      </c>
      <c r="N4" s="17">
        <f>SUM(H4+J4+L4)</f>
        <v>1</v>
      </c>
      <c r="O4" s="18">
        <f>SUM(I4+K4+M4)</f>
        <v>3600000</v>
      </c>
      <c r="P4" s="19">
        <v>0</v>
      </c>
      <c r="Q4" s="20">
        <f>P4*365*300*0.85</f>
        <v>0</v>
      </c>
      <c r="R4" s="19">
        <v>0</v>
      </c>
      <c r="S4" s="20">
        <f>R4*365*(300-100)*0.85</f>
        <v>0</v>
      </c>
      <c r="T4" s="19">
        <f>SUM(P4+R4)</f>
        <v>0</v>
      </c>
      <c r="U4" s="20">
        <f>Q4+S4</f>
        <v>0</v>
      </c>
      <c r="V4" s="17">
        <v>0</v>
      </c>
      <c r="W4" s="18">
        <f>V4*(73*100*0.85+292*200*0.85)</f>
        <v>0</v>
      </c>
      <c r="X4" s="17">
        <f>V4</f>
        <v>0</v>
      </c>
      <c r="Y4" s="18">
        <f>W4</f>
        <v>0</v>
      </c>
      <c r="Z4" s="19">
        <v>0</v>
      </c>
      <c r="AA4" s="20">
        <f>Z4*800*365*0.9</f>
        <v>0</v>
      </c>
      <c r="AB4" s="19">
        <v>11</v>
      </c>
      <c r="AC4" s="20">
        <f>AB4*(800-478.72)*365*0.9</f>
        <v>1160945.28</v>
      </c>
      <c r="AD4" s="19">
        <f>SUM(Z4+AB4)</f>
        <v>11</v>
      </c>
      <c r="AE4" s="20">
        <f>(AA4+AC4)</f>
        <v>1160945.28</v>
      </c>
      <c r="AF4" s="17">
        <v>0</v>
      </c>
      <c r="AG4" s="18">
        <f>AF4*800*365*0.9</f>
        <v>0</v>
      </c>
      <c r="AH4" s="17">
        <v>0</v>
      </c>
      <c r="AI4" s="18">
        <f>AH4*(800-508.63)*365*0.9</f>
        <v>0</v>
      </c>
      <c r="AJ4" s="17">
        <f>SUM(AF4+AH4)</f>
        <v>0</v>
      </c>
      <c r="AK4" s="18">
        <f>SUM(AG4+AI4)</f>
        <v>0</v>
      </c>
      <c r="AL4" s="19">
        <v>0</v>
      </c>
      <c r="AM4" s="20">
        <f>AL4*800*365*0.9</f>
        <v>0</v>
      </c>
      <c r="AN4" s="19">
        <v>0</v>
      </c>
      <c r="AO4" s="20">
        <f>AN4*(800-478.72)*365*0.9</f>
        <v>0</v>
      </c>
      <c r="AP4" s="19">
        <f>SUM(AL4+AN4)</f>
        <v>0</v>
      </c>
      <c r="AQ4" s="20">
        <f>SUM(AM4+AO4)</f>
        <v>0</v>
      </c>
      <c r="AR4" s="17">
        <v>0</v>
      </c>
      <c r="AS4" s="18">
        <f>AR4*800*365*0.9</f>
        <v>0</v>
      </c>
      <c r="AT4" s="17">
        <v>0</v>
      </c>
      <c r="AU4" s="18">
        <f>AT4*(800-508.63)*365*0.9</f>
        <v>0</v>
      </c>
      <c r="AV4" s="17">
        <f>SUM(AR4+AT4)</f>
        <v>0</v>
      </c>
      <c r="AW4" s="18">
        <f>SUM(AS4+AU4)</f>
        <v>0</v>
      </c>
      <c r="AX4" s="19">
        <v>0</v>
      </c>
      <c r="AY4" s="20">
        <f>AX4*350*365*0.9</f>
        <v>0</v>
      </c>
      <c r="AZ4" s="19">
        <f>AX4</f>
        <v>0</v>
      </c>
      <c r="BA4" s="20">
        <f>AY4</f>
        <v>0</v>
      </c>
      <c r="BB4" s="17">
        <v>0</v>
      </c>
      <c r="BC4" s="18">
        <f>BB4*350*365*0.85</f>
        <v>0</v>
      </c>
      <c r="BD4" s="17">
        <f>BB4</f>
        <v>0</v>
      </c>
      <c r="BE4" s="18">
        <f>BC4</f>
        <v>0</v>
      </c>
      <c r="BF4" s="36">
        <v>0</v>
      </c>
      <c r="BG4" s="35">
        <f>BF4*365*800*0.9</f>
        <v>0</v>
      </c>
      <c r="BH4" s="36">
        <f>BF4</f>
        <v>0</v>
      </c>
      <c r="BI4" s="35">
        <f>BG4</f>
        <v>0</v>
      </c>
      <c r="BJ4" s="5">
        <f>SUM(O4+U4+Y4+AE4+AK4+AQ4+AW4+BA4+BE4+BI4)</f>
        <v>4760945.28</v>
      </c>
      <c r="BL4" s="77">
        <f>SUM(O4+U4+Y4+AE4+AK4+AQ4+AW4+BA4+BE4+BI4)</f>
        <v>4760945.28</v>
      </c>
      <c r="BM4" t="b">
        <f>BJ4=BL4</f>
        <v>1</v>
      </c>
    </row>
    <row r="5" spans="1:65" ht="60">
      <c r="A5" s="228"/>
      <c r="B5" s="32" t="s">
        <v>53</v>
      </c>
      <c r="C5" s="33">
        <v>6048692</v>
      </c>
      <c r="D5" s="28" t="s">
        <v>57</v>
      </c>
      <c r="E5" s="25" t="s">
        <v>58</v>
      </c>
      <c r="F5" s="32" t="s">
        <v>59</v>
      </c>
      <c r="G5" s="138" t="s">
        <v>56</v>
      </c>
      <c r="H5" s="26">
        <v>0</v>
      </c>
      <c r="I5" s="18">
        <f t="shared" ref="I5:I16" si="0">H5*100000*12</f>
        <v>0</v>
      </c>
      <c r="J5" s="17">
        <v>1</v>
      </c>
      <c r="K5" s="18">
        <f t="shared" ref="K5:K16" si="1">J5*200000*12</f>
        <v>2400000</v>
      </c>
      <c r="L5" s="17">
        <v>0</v>
      </c>
      <c r="M5" s="18">
        <f t="shared" ref="M5:M16" si="2">L5*300000*12</f>
        <v>0</v>
      </c>
      <c r="N5" s="17">
        <f t="shared" ref="N5:N16" si="3">SUM(H5+J5+L5)</f>
        <v>1</v>
      </c>
      <c r="O5" s="18">
        <f t="shared" ref="O5:O16" si="4">SUM(I5+K5+M5)</f>
        <v>2400000</v>
      </c>
      <c r="P5" s="19">
        <v>0</v>
      </c>
      <c r="Q5" s="20">
        <f t="shared" ref="Q5:Q16" si="5">P5*365*300*0.85</f>
        <v>0</v>
      </c>
      <c r="R5" s="19">
        <v>0</v>
      </c>
      <c r="S5" s="20">
        <f t="shared" ref="S5:S16" si="6">R5*365*(300-100)*0.85</f>
        <v>0</v>
      </c>
      <c r="T5" s="19">
        <f t="shared" ref="T5:T16" si="7">SUM(P5+R5)</f>
        <v>0</v>
      </c>
      <c r="U5" s="20">
        <f t="shared" ref="U5:U16" si="8">Q5+S5</f>
        <v>0</v>
      </c>
      <c r="V5" s="17">
        <v>0</v>
      </c>
      <c r="W5" s="18">
        <f t="shared" ref="W5:W16" si="9">V5*(73*100*0.85+292*200*0.85)</f>
        <v>0</v>
      </c>
      <c r="X5" s="17">
        <f t="shared" ref="X5:Y16" si="10">V5</f>
        <v>0</v>
      </c>
      <c r="Y5" s="18">
        <f t="shared" si="10"/>
        <v>0</v>
      </c>
      <c r="Z5" s="19">
        <v>0</v>
      </c>
      <c r="AA5" s="20">
        <f t="shared" ref="AA5:AA16" si="11">Z5*800*365*0.9</f>
        <v>0</v>
      </c>
      <c r="AB5" s="19">
        <v>0</v>
      </c>
      <c r="AC5" s="20">
        <f t="shared" ref="AC5:AC16" si="12">AB5*(800-478.72)*365*0.9</f>
        <v>0</v>
      </c>
      <c r="AD5" s="19">
        <f t="shared" ref="AD5:AD16" si="13">SUM(Z5+AB5)</f>
        <v>0</v>
      </c>
      <c r="AE5" s="20">
        <f t="shared" ref="AE5:AE16" si="14">(AA5+AC5)</f>
        <v>0</v>
      </c>
      <c r="AF5" s="17">
        <v>0</v>
      </c>
      <c r="AG5" s="18">
        <f t="shared" ref="AG5:AG16" si="15">AF5*800*365*0.9</f>
        <v>0</v>
      </c>
      <c r="AH5" s="17">
        <v>0</v>
      </c>
      <c r="AI5" s="18">
        <f t="shared" ref="AI5:AI16" si="16">AH5*(800-508.63)*365*0.9</f>
        <v>0</v>
      </c>
      <c r="AJ5" s="17">
        <f t="shared" ref="AJ5:AJ16" si="17">SUM(AF5+AH5)</f>
        <v>0</v>
      </c>
      <c r="AK5" s="18">
        <f t="shared" ref="AK5:AK16" si="18">SUM(AG5+AI5)</f>
        <v>0</v>
      </c>
      <c r="AL5" s="19">
        <v>0</v>
      </c>
      <c r="AM5" s="20">
        <f t="shared" ref="AM5:AM16" si="19">AL5*800*365*0.9</f>
        <v>0</v>
      </c>
      <c r="AN5" s="19">
        <v>8</v>
      </c>
      <c r="AO5" s="20">
        <f t="shared" ref="AO5:AO16" si="20">AN5*(800-478.72)*365*0.9</f>
        <v>844323.83999999997</v>
      </c>
      <c r="AP5" s="19">
        <f t="shared" ref="AP5:AP16" si="21">SUM(AL5+AN5)</f>
        <v>8</v>
      </c>
      <c r="AQ5" s="20">
        <f t="shared" ref="AQ5:AQ16" si="22">SUM(AM5+AO5)</f>
        <v>844323.83999999997</v>
      </c>
      <c r="AR5" s="17">
        <v>0</v>
      </c>
      <c r="AS5" s="18">
        <f t="shared" ref="AS5:AS16" si="23">AR5*800*365*0.9</f>
        <v>0</v>
      </c>
      <c r="AT5" s="17">
        <v>0</v>
      </c>
      <c r="AU5" s="18">
        <f t="shared" ref="AU5:AU16" si="24">AT5*(800-508.63)*365*0.9</f>
        <v>0</v>
      </c>
      <c r="AV5" s="17">
        <f t="shared" ref="AV5:AV16" si="25">SUM(AR5+AT5)</f>
        <v>0</v>
      </c>
      <c r="AW5" s="18">
        <f t="shared" ref="AW5:AW16" si="26">SUM(AS5+AU5)</f>
        <v>0</v>
      </c>
      <c r="AX5" s="19">
        <v>0</v>
      </c>
      <c r="AY5" s="20">
        <f t="shared" ref="AY5:AY16" si="27">AX5*350*365*0.9</f>
        <v>0</v>
      </c>
      <c r="AZ5" s="19">
        <f t="shared" ref="AZ5:BA16" si="28">AX5</f>
        <v>0</v>
      </c>
      <c r="BA5" s="20">
        <f t="shared" si="28"/>
        <v>0</v>
      </c>
      <c r="BB5" s="17">
        <v>0</v>
      </c>
      <c r="BC5" s="18">
        <f t="shared" ref="BC5:BC16" si="29">BB5*350*365*0.85</f>
        <v>0</v>
      </c>
      <c r="BD5" s="17">
        <f t="shared" ref="BD5:BE16" si="30">BB5</f>
        <v>0</v>
      </c>
      <c r="BE5" s="18">
        <f t="shared" si="30"/>
        <v>0</v>
      </c>
      <c r="BF5" s="36">
        <v>0</v>
      </c>
      <c r="BG5" s="35">
        <f t="shared" ref="BG5:BG16" si="31">BF5*365*800*0.9</f>
        <v>0</v>
      </c>
      <c r="BH5" s="36">
        <f t="shared" ref="BH5:BI16" si="32">BF5</f>
        <v>0</v>
      </c>
      <c r="BI5" s="35">
        <f t="shared" si="32"/>
        <v>0</v>
      </c>
      <c r="BJ5" s="5">
        <f t="shared" ref="BJ5:BJ16" si="33">SUM(O5+U5+Y5+AE5+AK5+AQ5+AW5+BA5+BE5+BI5)</f>
        <v>3244323.84</v>
      </c>
      <c r="BL5" s="77">
        <f t="shared" ref="BL5:BL16" si="34">SUM(O5+U5+Y5+AE5+AK5+AQ5+AW5+BA5+BE5+BI5)</f>
        <v>3244323.84</v>
      </c>
      <c r="BM5" t="b">
        <f t="shared" ref="BM5:BM17" si="35">BJ5=BL5</f>
        <v>1</v>
      </c>
    </row>
    <row r="6" spans="1:65" ht="60">
      <c r="A6" s="228"/>
      <c r="B6" s="32" t="s">
        <v>53</v>
      </c>
      <c r="C6" s="33">
        <v>2436450</v>
      </c>
      <c r="D6" s="27" t="s">
        <v>60</v>
      </c>
      <c r="E6" s="25" t="s">
        <v>61</v>
      </c>
      <c r="F6" s="110" t="s">
        <v>62</v>
      </c>
      <c r="G6" s="137" t="s">
        <v>56</v>
      </c>
      <c r="H6" s="26">
        <v>0</v>
      </c>
      <c r="I6" s="18">
        <f t="shared" si="0"/>
        <v>0</v>
      </c>
      <c r="J6" s="17">
        <v>0</v>
      </c>
      <c r="K6" s="18">
        <f t="shared" si="1"/>
        <v>0</v>
      </c>
      <c r="L6" s="17">
        <v>1</v>
      </c>
      <c r="M6" s="18">
        <f t="shared" si="2"/>
        <v>3600000</v>
      </c>
      <c r="N6" s="17">
        <f t="shared" si="3"/>
        <v>1</v>
      </c>
      <c r="O6" s="18">
        <f t="shared" si="4"/>
        <v>3600000</v>
      </c>
      <c r="P6" s="19">
        <v>0</v>
      </c>
      <c r="Q6" s="20">
        <f t="shared" si="5"/>
        <v>0</v>
      </c>
      <c r="R6" s="19">
        <v>0</v>
      </c>
      <c r="S6" s="20">
        <f t="shared" si="6"/>
        <v>0</v>
      </c>
      <c r="T6" s="19">
        <f t="shared" si="7"/>
        <v>0</v>
      </c>
      <c r="U6" s="20">
        <f t="shared" si="8"/>
        <v>0</v>
      </c>
      <c r="V6" s="17">
        <v>0</v>
      </c>
      <c r="W6" s="18">
        <f t="shared" si="9"/>
        <v>0</v>
      </c>
      <c r="X6" s="17">
        <f t="shared" si="10"/>
        <v>0</v>
      </c>
      <c r="Y6" s="18">
        <f t="shared" si="10"/>
        <v>0</v>
      </c>
      <c r="Z6" s="19">
        <v>0</v>
      </c>
      <c r="AA6" s="20">
        <f t="shared" si="11"/>
        <v>0</v>
      </c>
      <c r="AB6" s="19">
        <v>16</v>
      </c>
      <c r="AC6" s="20">
        <f t="shared" si="12"/>
        <v>1688647.6799999999</v>
      </c>
      <c r="AD6" s="19">
        <f t="shared" si="13"/>
        <v>16</v>
      </c>
      <c r="AE6" s="20">
        <f t="shared" si="14"/>
        <v>1688647.6799999999</v>
      </c>
      <c r="AF6" s="17">
        <v>0</v>
      </c>
      <c r="AG6" s="18">
        <f t="shared" si="15"/>
        <v>0</v>
      </c>
      <c r="AH6" s="17">
        <v>0</v>
      </c>
      <c r="AI6" s="18">
        <f t="shared" si="16"/>
        <v>0</v>
      </c>
      <c r="AJ6" s="17">
        <f t="shared" si="17"/>
        <v>0</v>
      </c>
      <c r="AK6" s="18">
        <f t="shared" si="18"/>
        <v>0</v>
      </c>
      <c r="AL6" s="19">
        <v>0</v>
      </c>
      <c r="AM6" s="20">
        <f t="shared" si="19"/>
        <v>0</v>
      </c>
      <c r="AN6" s="19">
        <v>0</v>
      </c>
      <c r="AO6" s="20">
        <f t="shared" si="20"/>
        <v>0</v>
      </c>
      <c r="AP6" s="19">
        <f t="shared" si="21"/>
        <v>0</v>
      </c>
      <c r="AQ6" s="20">
        <f t="shared" si="22"/>
        <v>0</v>
      </c>
      <c r="AR6" s="17">
        <v>0</v>
      </c>
      <c r="AS6" s="18">
        <f t="shared" si="23"/>
        <v>0</v>
      </c>
      <c r="AT6" s="17">
        <v>0</v>
      </c>
      <c r="AU6" s="18">
        <f t="shared" si="24"/>
        <v>0</v>
      </c>
      <c r="AV6" s="17">
        <f t="shared" si="25"/>
        <v>0</v>
      </c>
      <c r="AW6" s="18">
        <f t="shared" si="26"/>
        <v>0</v>
      </c>
      <c r="AX6" s="19">
        <v>0</v>
      </c>
      <c r="AY6" s="20">
        <f t="shared" si="27"/>
        <v>0</v>
      </c>
      <c r="AZ6" s="19">
        <f t="shared" si="28"/>
        <v>0</v>
      </c>
      <c r="BA6" s="20">
        <f t="shared" si="28"/>
        <v>0</v>
      </c>
      <c r="BB6" s="17">
        <v>0</v>
      </c>
      <c r="BC6" s="18">
        <f t="shared" si="29"/>
        <v>0</v>
      </c>
      <c r="BD6" s="17">
        <f t="shared" si="30"/>
        <v>0</v>
      </c>
      <c r="BE6" s="18">
        <f t="shared" si="30"/>
        <v>0</v>
      </c>
      <c r="BF6" s="36">
        <v>0</v>
      </c>
      <c r="BG6" s="35">
        <f t="shared" si="31"/>
        <v>0</v>
      </c>
      <c r="BH6" s="36">
        <f t="shared" si="32"/>
        <v>0</v>
      </c>
      <c r="BI6" s="35">
        <f t="shared" si="32"/>
        <v>0</v>
      </c>
      <c r="BJ6" s="5">
        <f t="shared" si="33"/>
        <v>5288647.68</v>
      </c>
      <c r="BL6" s="77">
        <f t="shared" si="34"/>
        <v>5288647.68</v>
      </c>
      <c r="BM6" t="b">
        <f t="shared" si="35"/>
        <v>1</v>
      </c>
    </row>
    <row r="7" spans="1:65" ht="48">
      <c r="A7" s="228"/>
      <c r="B7" s="33" t="s">
        <v>53</v>
      </c>
      <c r="C7" s="110">
        <v>2521296</v>
      </c>
      <c r="D7" s="25" t="s">
        <v>63</v>
      </c>
      <c r="E7" s="25" t="s">
        <v>58</v>
      </c>
      <c r="F7" s="110" t="s">
        <v>59</v>
      </c>
      <c r="G7" s="110" t="s">
        <v>56</v>
      </c>
      <c r="H7" s="26">
        <v>0</v>
      </c>
      <c r="I7" s="18">
        <f t="shared" si="0"/>
        <v>0</v>
      </c>
      <c r="J7" s="17">
        <v>0</v>
      </c>
      <c r="K7" s="18">
        <f t="shared" si="1"/>
        <v>0</v>
      </c>
      <c r="L7" s="17">
        <v>0</v>
      </c>
      <c r="M7" s="18">
        <f t="shared" si="2"/>
        <v>0</v>
      </c>
      <c r="N7" s="17">
        <f t="shared" si="3"/>
        <v>0</v>
      </c>
      <c r="O7" s="18">
        <f t="shared" si="4"/>
        <v>0</v>
      </c>
      <c r="P7" s="19">
        <v>10</v>
      </c>
      <c r="Q7" s="20">
        <f t="shared" si="5"/>
        <v>930750</v>
      </c>
      <c r="R7" s="19">
        <v>10</v>
      </c>
      <c r="S7" s="20">
        <f t="shared" si="6"/>
        <v>620500</v>
      </c>
      <c r="T7" s="19">
        <f t="shared" si="7"/>
        <v>20</v>
      </c>
      <c r="U7" s="20">
        <f t="shared" si="8"/>
        <v>1551250</v>
      </c>
      <c r="V7" s="17">
        <v>0</v>
      </c>
      <c r="W7" s="18">
        <f t="shared" si="9"/>
        <v>0</v>
      </c>
      <c r="X7" s="17">
        <f t="shared" si="10"/>
        <v>0</v>
      </c>
      <c r="Y7" s="18">
        <f t="shared" si="10"/>
        <v>0</v>
      </c>
      <c r="Z7" s="19">
        <v>0</v>
      </c>
      <c r="AA7" s="20">
        <f t="shared" si="11"/>
        <v>0</v>
      </c>
      <c r="AB7" s="19">
        <v>0</v>
      </c>
      <c r="AC7" s="20">
        <f t="shared" si="12"/>
        <v>0</v>
      </c>
      <c r="AD7" s="19">
        <f t="shared" si="13"/>
        <v>0</v>
      </c>
      <c r="AE7" s="20">
        <f t="shared" si="14"/>
        <v>0</v>
      </c>
      <c r="AF7" s="17">
        <v>0</v>
      </c>
      <c r="AG7" s="18">
        <f t="shared" si="15"/>
        <v>0</v>
      </c>
      <c r="AH7" s="17">
        <v>0</v>
      </c>
      <c r="AI7" s="18">
        <f t="shared" si="16"/>
        <v>0</v>
      </c>
      <c r="AJ7" s="17">
        <f t="shared" si="17"/>
        <v>0</v>
      </c>
      <c r="AK7" s="18">
        <f t="shared" si="18"/>
        <v>0</v>
      </c>
      <c r="AL7" s="19">
        <v>0</v>
      </c>
      <c r="AM7" s="20">
        <f t="shared" si="19"/>
        <v>0</v>
      </c>
      <c r="AN7" s="19">
        <v>0</v>
      </c>
      <c r="AO7" s="20">
        <f t="shared" si="20"/>
        <v>0</v>
      </c>
      <c r="AP7" s="19">
        <f t="shared" si="21"/>
        <v>0</v>
      </c>
      <c r="AQ7" s="20">
        <f t="shared" si="22"/>
        <v>0</v>
      </c>
      <c r="AR7" s="17">
        <v>0</v>
      </c>
      <c r="AS7" s="18">
        <f t="shared" si="23"/>
        <v>0</v>
      </c>
      <c r="AT7" s="17">
        <v>0</v>
      </c>
      <c r="AU7" s="18">
        <f t="shared" si="24"/>
        <v>0</v>
      </c>
      <c r="AV7" s="17">
        <f t="shared" si="25"/>
        <v>0</v>
      </c>
      <c r="AW7" s="18">
        <f t="shared" si="26"/>
        <v>0</v>
      </c>
      <c r="AX7" s="19">
        <v>0</v>
      </c>
      <c r="AY7" s="20">
        <f t="shared" si="27"/>
        <v>0</v>
      </c>
      <c r="AZ7" s="19">
        <f t="shared" si="28"/>
        <v>0</v>
      </c>
      <c r="BA7" s="20">
        <f t="shared" si="28"/>
        <v>0</v>
      </c>
      <c r="BB7" s="17">
        <v>0</v>
      </c>
      <c r="BC7" s="18">
        <f t="shared" si="29"/>
        <v>0</v>
      </c>
      <c r="BD7" s="17">
        <f t="shared" si="30"/>
        <v>0</v>
      </c>
      <c r="BE7" s="18">
        <f t="shared" si="30"/>
        <v>0</v>
      </c>
      <c r="BF7" s="36">
        <v>0</v>
      </c>
      <c r="BG7" s="35">
        <f t="shared" si="31"/>
        <v>0</v>
      </c>
      <c r="BH7" s="36">
        <f t="shared" si="32"/>
        <v>0</v>
      </c>
      <c r="BI7" s="35">
        <f t="shared" si="32"/>
        <v>0</v>
      </c>
      <c r="BJ7" s="5">
        <f t="shared" si="33"/>
        <v>1551250</v>
      </c>
      <c r="BL7" s="77">
        <f t="shared" si="34"/>
        <v>1551250</v>
      </c>
      <c r="BM7" t="b">
        <f t="shared" si="35"/>
        <v>1</v>
      </c>
    </row>
    <row r="8" spans="1:65" ht="84">
      <c r="A8" s="228"/>
      <c r="B8" s="32" t="s">
        <v>64</v>
      </c>
      <c r="C8" s="110">
        <v>6757960</v>
      </c>
      <c r="D8" s="27" t="s">
        <v>65</v>
      </c>
      <c r="E8" s="25" t="s">
        <v>61</v>
      </c>
      <c r="F8" s="110" t="s">
        <v>56</v>
      </c>
      <c r="G8" s="31" t="s">
        <v>56</v>
      </c>
      <c r="H8" s="26">
        <v>0</v>
      </c>
      <c r="I8" s="18">
        <f t="shared" si="0"/>
        <v>0</v>
      </c>
      <c r="J8" s="17">
        <v>0</v>
      </c>
      <c r="K8" s="18">
        <f t="shared" si="1"/>
        <v>0</v>
      </c>
      <c r="L8" s="17">
        <v>0</v>
      </c>
      <c r="M8" s="18">
        <f t="shared" si="2"/>
        <v>0</v>
      </c>
      <c r="N8" s="17">
        <f t="shared" si="3"/>
        <v>0</v>
      </c>
      <c r="O8" s="18">
        <f t="shared" si="4"/>
        <v>0</v>
      </c>
      <c r="P8" s="19">
        <v>6</v>
      </c>
      <c r="Q8" s="20">
        <f t="shared" si="5"/>
        <v>558450</v>
      </c>
      <c r="R8" s="19">
        <v>3</v>
      </c>
      <c r="S8" s="20">
        <f t="shared" si="6"/>
        <v>186150</v>
      </c>
      <c r="T8" s="19">
        <f t="shared" si="7"/>
        <v>9</v>
      </c>
      <c r="U8" s="20">
        <f t="shared" si="8"/>
        <v>744600</v>
      </c>
      <c r="V8" s="17">
        <v>0</v>
      </c>
      <c r="W8" s="18">
        <f t="shared" si="9"/>
        <v>0</v>
      </c>
      <c r="X8" s="17">
        <f t="shared" si="10"/>
        <v>0</v>
      </c>
      <c r="Y8" s="18">
        <f t="shared" si="10"/>
        <v>0</v>
      </c>
      <c r="Z8" s="19">
        <v>0</v>
      </c>
      <c r="AA8" s="20">
        <f t="shared" si="11"/>
        <v>0</v>
      </c>
      <c r="AB8" s="19">
        <v>0</v>
      </c>
      <c r="AC8" s="20">
        <f t="shared" si="12"/>
        <v>0</v>
      </c>
      <c r="AD8" s="19">
        <f t="shared" si="13"/>
        <v>0</v>
      </c>
      <c r="AE8" s="20">
        <f t="shared" si="14"/>
        <v>0</v>
      </c>
      <c r="AF8" s="17">
        <v>0</v>
      </c>
      <c r="AG8" s="18">
        <f t="shared" si="15"/>
        <v>0</v>
      </c>
      <c r="AH8" s="17">
        <v>0</v>
      </c>
      <c r="AI8" s="18">
        <f t="shared" si="16"/>
        <v>0</v>
      </c>
      <c r="AJ8" s="17">
        <f t="shared" si="17"/>
        <v>0</v>
      </c>
      <c r="AK8" s="18">
        <f t="shared" si="18"/>
        <v>0</v>
      </c>
      <c r="AL8" s="19">
        <v>0</v>
      </c>
      <c r="AM8" s="20">
        <f t="shared" si="19"/>
        <v>0</v>
      </c>
      <c r="AN8" s="19">
        <v>0</v>
      </c>
      <c r="AO8" s="20">
        <f t="shared" si="20"/>
        <v>0</v>
      </c>
      <c r="AP8" s="19">
        <f t="shared" si="21"/>
        <v>0</v>
      </c>
      <c r="AQ8" s="20">
        <f t="shared" si="22"/>
        <v>0</v>
      </c>
      <c r="AR8" s="17">
        <v>0</v>
      </c>
      <c r="AS8" s="18">
        <f t="shared" si="23"/>
        <v>0</v>
      </c>
      <c r="AT8" s="17">
        <v>0</v>
      </c>
      <c r="AU8" s="18">
        <f t="shared" si="24"/>
        <v>0</v>
      </c>
      <c r="AV8" s="17">
        <f t="shared" si="25"/>
        <v>0</v>
      </c>
      <c r="AW8" s="18">
        <f t="shared" si="26"/>
        <v>0</v>
      </c>
      <c r="AX8" s="19">
        <v>0</v>
      </c>
      <c r="AY8" s="20">
        <f t="shared" si="27"/>
        <v>0</v>
      </c>
      <c r="AZ8" s="19">
        <f t="shared" si="28"/>
        <v>0</v>
      </c>
      <c r="BA8" s="20">
        <f t="shared" si="28"/>
        <v>0</v>
      </c>
      <c r="BB8" s="17">
        <v>0</v>
      </c>
      <c r="BC8" s="18">
        <f t="shared" si="29"/>
        <v>0</v>
      </c>
      <c r="BD8" s="17">
        <f t="shared" si="30"/>
        <v>0</v>
      </c>
      <c r="BE8" s="18">
        <f t="shared" si="30"/>
        <v>0</v>
      </c>
      <c r="BF8" s="36">
        <v>0</v>
      </c>
      <c r="BG8" s="35">
        <f t="shared" si="31"/>
        <v>0</v>
      </c>
      <c r="BH8" s="36">
        <f t="shared" si="32"/>
        <v>0</v>
      </c>
      <c r="BI8" s="35">
        <f t="shared" si="32"/>
        <v>0</v>
      </c>
      <c r="BJ8" s="5">
        <f t="shared" si="33"/>
        <v>744600</v>
      </c>
      <c r="BL8" s="77">
        <f t="shared" si="34"/>
        <v>744600</v>
      </c>
      <c r="BM8" t="b">
        <f t="shared" si="35"/>
        <v>1</v>
      </c>
    </row>
    <row r="9" spans="1:65" s="155" customFormat="1" ht="48">
      <c r="A9" s="228" t="s">
        <v>66</v>
      </c>
      <c r="B9" s="147" t="s">
        <v>67</v>
      </c>
      <c r="C9" s="137">
        <v>2306336</v>
      </c>
      <c r="D9" s="148" t="s">
        <v>68</v>
      </c>
      <c r="E9" s="149" t="s">
        <v>58</v>
      </c>
      <c r="F9" s="147" t="s">
        <v>59</v>
      </c>
      <c r="G9" s="138" t="s">
        <v>56</v>
      </c>
      <c r="H9" s="26">
        <v>0</v>
      </c>
      <c r="I9" s="18">
        <f>H9*100000*12</f>
        <v>0</v>
      </c>
      <c r="J9" s="152">
        <v>0</v>
      </c>
      <c r="K9" s="151">
        <f t="shared" si="1"/>
        <v>0</v>
      </c>
      <c r="L9" s="152">
        <v>1</v>
      </c>
      <c r="M9" s="151">
        <f t="shared" si="2"/>
        <v>3600000</v>
      </c>
      <c r="N9" s="152">
        <f t="shared" si="3"/>
        <v>1</v>
      </c>
      <c r="O9" s="151">
        <f t="shared" si="4"/>
        <v>3600000</v>
      </c>
      <c r="P9" s="152">
        <v>0</v>
      </c>
      <c r="Q9" s="151">
        <f t="shared" si="5"/>
        <v>0</v>
      </c>
      <c r="R9" s="152">
        <v>0</v>
      </c>
      <c r="S9" s="151">
        <f t="shared" si="6"/>
        <v>0</v>
      </c>
      <c r="T9" s="152">
        <f t="shared" si="7"/>
        <v>0</v>
      </c>
      <c r="U9" s="151">
        <f t="shared" si="8"/>
        <v>0</v>
      </c>
      <c r="V9" s="152">
        <v>0</v>
      </c>
      <c r="W9" s="151">
        <f t="shared" si="9"/>
        <v>0</v>
      </c>
      <c r="X9" s="152">
        <f t="shared" si="10"/>
        <v>0</v>
      </c>
      <c r="Y9" s="151">
        <f t="shared" si="10"/>
        <v>0</v>
      </c>
      <c r="Z9" s="152">
        <v>0</v>
      </c>
      <c r="AA9" s="151">
        <f t="shared" si="11"/>
        <v>0</v>
      </c>
      <c r="AB9" s="152">
        <v>5</v>
      </c>
      <c r="AC9" s="151">
        <f t="shared" si="12"/>
        <v>527702.4</v>
      </c>
      <c r="AD9" s="152">
        <f t="shared" si="13"/>
        <v>5</v>
      </c>
      <c r="AE9" s="151">
        <f t="shared" si="14"/>
        <v>527702.4</v>
      </c>
      <c r="AF9" s="152">
        <v>0</v>
      </c>
      <c r="AG9" s="151">
        <f t="shared" si="15"/>
        <v>0</v>
      </c>
      <c r="AH9" s="152">
        <v>0</v>
      </c>
      <c r="AI9" s="151">
        <f t="shared" si="16"/>
        <v>0</v>
      </c>
      <c r="AJ9" s="152">
        <f t="shared" si="17"/>
        <v>0</v>
      </c>
      <c r="AK9" s="151">
        <f t="shared" si="18"/>
        <v>0</v>
      </c>
      <c r="AL9" s="152">
        <v>0</v>
      </c>
      <c r="AM9" s="151">
        <f t="shared" si="19"/>
        <v>0</v>
      </c>
      <c r="AN9" s="152">
        <v>0</v>
      </c>
      <c r="AO9" s="151">
        <f t="shared" si="20"/>
        <v>0</v>
      </c>
      <c r="AP9" s="152">
        <f t="shared" si="21"/>
        <v>0</v>
      </c>
      <c r="AQ9" s="151">
        <f t="shared" si="22"/>
        <v>0</v>
      </c>
      <c r="AR9" s="152">
        <v>0</v>
      </c>
      <c r="AS9" s="151">
        <f t="shared" si="23"/>
        <v>0</v>
      </c>
      <c r="AT9" s="152">
        <v>0</v>
      </c>
      <c r="AU9" s="151">
        <f t="shared" si="24"/>
        <v>0</v>
      </c>
      <c r="AV9" s="152">
        <f t="shared" si="25"/>
        <v>0</v>
      </c>
      <c r="AW9" s="151">
        <f t="shared" si="26"/>
        <v>0</v>
      </c>
      <c r="AX9" s="152">
        <v>0</v>
      </c>
      <c r="AY9" s="151">
        <f t="shared" si="27"/>
        <v>0</v>
      </c>
      <c r="AZ9" s="152">
        <f t="shared" si="28"/>
        <v>0</v>
      </c>
      <c r="BA9" s="151">
        <f t="shared" si="28"/>
        <v>0</v>
      </c>
      <c r="BB9" s="152">
        <v>0</v>
      </c>
      <c r="BC9" s="151">
        <f t="shared" si="29"/>
        <v>0</v>
      </c>
      <c r="BD9" s="152">
        <f t="shared" si="30"/>
        <v>0</v>
      </c>
      <c r="BE9" s="151">
        <f t="shared" si="30"/>
        <v>0</v>
      </c>
      <c r="BF9" s="153">
        <v>0</v>
      </c>
      <c r="BG9" s="154">
        <f t="shared" si="31"/>
        <v>0</v>
      </c>
      <c r="BH9" s="153">
        <f t="shared" si="32"/>
        <v>0</v>
      </c>
      <c r="BI9" s="154">
        <f t="shared" si="32"/>
        <v>0</v>
      </c>
      <c r="BJ9" s="151">
        <f t="shared" si="33"/>
        <v>4127702.4</v>
      </c>
      <c r="BL9" s="156">
        <f t="shared" si="34"/>
        <v>4127702.4</v>
      </c>
      <c r="BM9" s="155" t="b">
        <f t="shared" si="35"/>
        <v>1</v>
      </c>
    </row>
    <row r="10" spans="1:65" ht="60">
      <c r="A10" s="228"/>
      <c r="B10" s="32" t="s">
        <v>69</v>
      </c>
      <c r="C10" s="33">
        <v>2492342</v>
      </c>
      <c r="D10" s="27" t="s">
        <v>70</v>
      </c>
      <c r="E10" s="25" t="s">
        <v>58</v>
      </c>
      <c r="F10" s="110" t="s">
        <v>59</v>
      </c>
      <c r="G10" s="31" t="s">
        <v>56</v>
      </c>
      <c r="H10" s="26">
        <v>0</v>
      </c>
      <c r="I10" s="18">
        <f t="shared" si="0"/>
        <v>0</v>
      </c>
      <c r="J10" s="17">
        <v>0</v>
      </c>
      <c r="K10" s="18">
        <f t="shared" si="1"/>
        <v>0</v>
      </c>
      <c r="L10" s="17">
        <v>0</v>
      </c>
      <c r="M10" s="18">
        <f t="shared" si="2"/>
        <v>0</v>
      </c>
      <c r="N10" s="17">
        <f t="shared" si="3"/>
        <v>0</v>
      </c>
      <c r="O10" s="18">
        <f t="shared" si="4"/>
        <v>0</v>
      </c>
      <c r="P10" s="19">
        <v>5</v>
      </c>
      <c r="Q10" s="20">
        <f t="shared" si="5"/>
        <v>465375</v>
      </c>
      <c r="R10" s="19">
        <v>5</v>
      </c>
      <c r="S10" s="20">
        <f t="shared" si="6"/>
        <v>310250</v>
      </c>
      <c r="T10" s="19">
        <f t="shared" si="7"/>
        <v>10</v>
      </c>
      <c r="U10" s="20">
        <f t="shared" si="8"/>
        <v>775625</v>
      </c>
      <c r="V10" s="17">
        <v>0</v>
      </c>
      <c r="W10" s="18">
        <f t="shared" si="9"/>
        <v>0</v>
      </c>
      <c r="X10" s="17">
        <f t="shared" si="10"/>
        <v>0</v>
      </c>
      <c r="Y10" s="18">
        <f t="shared" si="10"/>
        <v>0</v>
      </c>
      <c r="Z10" s="19">
        <v>0</v>
      </c>
      <c r="AA10" s="20">
        <f t="shared" si="11"/>
        <v>0</v>
      </c>
      <c r="AB10" s="19">
        <v>0</v>
      </c>
      <c r="AC10" s="20">
        <f t="shared" si="12"/>
        <v>0</v>
      </c>
      <c r="AD10" s="19">
        <f t="shared" si="13"/>
        <v>0</v>
      </c>
      <c r="AE10" s="20">
        <f t="shared" si="14"/>
        <v>0</v>
      </c>
      <c r="AF10" s="17">
        <v>0</v>
      </c>
      <c r="AG10" s="18">
        <f t="shared" si="15"/>
        <v>0</v>
      </c>
      <c r="AH10" s="17">
        <v>0</v>
      </c>
      <c r="AI10" s="18">
        <f t="shared" si="16"/>
        <v>0</v>
      </c>
      <c r="AJ10" s="17">
        <f t="shared" si="17"/>
        <v>0</v>
      </c>
      <c r="AK10" s="18">
        <f t="shared" si="18"/>
        <v>0</v>
      </c>
      <c r="AL10" s="19">
        <v>0</v>
      </c>
      <c r="AM10" s="20">
        <f t="shared" si="19"/>
        <v>0</v>
      </c>
      <c r="AN10" s="19">
        <v>0</v>
      </c>
      <c r="AO10" s="20">
        <f t="shared" si="20"/>
        <v>0</v>
      </c>
      <c r="AP10" s="19">
        <f t="shared" si="21"/>
        <v>0</v>
      </c>
      <c r="AQ10" s="20">
        <f t="shared" si="22"/>
        <v>0</v>
      </c>
      <c r="AR10" s="17">
        <v>0</v>
      </c>
      <c r="AS10" s="18">
        <f t="shared" si="23"/>
        <v>0</v>
      </c>
      <c r="AT10" s="17">
        <v>0</v>
      </c>
      <c r="AU10" s="18">
        <f t="shared" si="24"/>
        <v>0</v>
      </c>
      <c r="AV10" s="17">
        <f t="shared" si="25"/>
        <v>0</v>
      </c>
      <c r="AW10" s="18">
        <f t="shared" si="26"/>
        <v>0</v>
      </c>
      <c r="AX10" s="19">
        <v>0</v>
      </c>
      <c r="AY10" s="20">
        <f t="shared" si="27"/>
        <v>0</v>
      </c>
      <c r="AZ10" s="19">
        <f t="shared" si="28"/>
        <v>0</v>
      </c>
      <c r="BA10" s="20">
        <f t="shared" si="28"/>
        <v>0</v>
      </c>
      <c r="BB10" s="17">
        <v>0</v>
      </c>
      <c r="BC10" s="18">
        <f t="shared" si="29"/>
        <v>0</v>
      </c>
      <c r="BD10" s="17">
        <f t="shared" si="30"/>
        <v>0</v>
      </c>
      <c r="BE10" s="18">
        <f t="shared" si="30"/>
        <v>0</v>
      </c>
      <c r="BF10" s="36">
        <v>0</v>
      </c>
      <c r="BG10" s="35">
        <f t="shared" si="31"/>
        <v>0</v>
      </c>
      <c r="BH10" s="36">
        <f t="shared" si="32"/>
        <v>0</v>
      </c>
      <c r="BI10" s="35">
        <f t="shared" si="32"/>
        <v>0</v>
      </c>
      <c r="BJ10" s="5">
        <f t="shared" si="33"/>
        <v>775625</v>
      </c>
      <c r="BL10" s="77">
        <f t="shared" si="34"/>
        <v>775625</v>
      </c>
      <c r="BM10" t="b">
        <f t="shared" si="35"/>
        <v>1</v>
      </c>
    </row>
    <row r="11" spans="1:65" ht="48">
      <c r="A11" s="229" t="s">
        <v>71</v>
      </c>
      <c r="B11" s="32" t="s">
        <v>72</v>
      </c>
      <c r="C11" s="33">
        <v>2490935</v>
      </c>
      <c r="D11" s="27" t="s">
        <v>73</v>
      </c>
      <c r="E11" s="25" t="s">
        <v>58</v>
      </c>
      <c r="F11" s="110" t="s">
        <v>59</v>
      </c>
      <c r="G11" s="110" t="s">
        <v>56</v>
      </c>
      <c r="H11" s="26">
        <v>0</v>
      </c>
      <c r="I11" s="18">
        <f t="shared" si="0"/>
        <v>0</v>
      </c>
      <c r="J11" s="17">
        <v>0</v>
      </c>
      <c r="K11" s="18">
        <f t="shared" si="1"/>
        <v>0</v>
      </c>
      <c r="L11" s="17">
        <v>0</v>
      </c>
      <c r="M11" s="18">
        <f t="shared" si="2"/>
        <v>0</v>
      </c>
      <c r="N11" s="17">
        <f t="shared" si="3"/>
        <v>0</v>
      </c>
      <c r="O11" s="18">
        <f t="shared" si="4"/>
        <v>0</v>
      </c>
      <c r="P11" s="19">
        <v>10</v>
      </c>
      <c r="Q11" s="20">
        <f t="shared" si="5"/>
        <v>930750</v>
      </c>
      <c r="R11" s="19">
        <v>10</v>
      </c>
      <c r="S11" s="20">
        <f t="shared" si="6"/>
        <v>620500</v>
      </c>
      <c r="T11" s="19">
        <f t="shared" si="7"/>
        <v>20</v>
      </c>
      <c r="U11" s="20">
        <f t="shared" si="8"/>
        <v>1551250</v>
      </c>
      <c r="V11" s="17">
        <v>0</v>
      </c>
      <c r="W11" s="18">
        <f t="shared" si="9"/>
        <v>0</v>
      </c>
      <c r="X11" s="17">
        <f t="shared" si="10"/>
        <v>0</v>
      </c>
      <c r="Y11" s="18">
        <f t="shared" si="10"/>
        <v>0</v>
      </c>
      <c r="Z11" s="19">
        <v>0</v>
      </c>
      <c r="AA11" s="20">
        <f t="shared" si="11"/>
        <v>0</v>
      </c>
      <c r="AB11" s="19">
        <v>0</v>
      </c>
      <c r="AC11" s="20">
        <f t="shared" si="12"/>
        <v>0</v>
      </c>
      <c r="AD11" s="19">
        <f t="shared" si="13"/>
        <v>0</v>
      </c>
      <c r="AE11" s="20">
        <f t="shared" si="14"/>
        <v>0</v>
      </c>
      <c r="AF11" s="17">
        <v>0</v>
      </c>
      <c r="AG11" s="18">
        <f t="shared" si="15"/>
        <v>0</v>
      </c>
      <c r="AH11" s="17">
        <v>0</v>
      </c>
      <c r="AI11" s="18">
        <f t="shared" si="16"/>
        <v>0</v>
      </c>
      <c r="AJ11" s="17">
        <f t="shared" si="17"/>
        <v>0</v>
      </c>
      <c r="AK11" s="18">
        <f t="shared" si="18"/>
        <v>0</v>
      </c>
      <c r="AL11" s="19">
        <v>0</v>
      </c>
      <c r="AM11" s="20">
        <f t="shared" si="19"/>
        <v>0</v>
      </c>
      <c r="AN11" s="19">
        <v>0</v>
      </c>
      <c r="AO11" s="20">
        <f t="shared" si="20"/>
        <v>0</v>
      </c>
      <c r="AP11" s="19">
        <f t="shared" si="21"/>
        <v>0</v>
      </c>
      <c r="AQ11" s="20">
        <f t="shared" si="22"/>
        <v>0</v>
      </c>
      <c r="AR11" s="17">
        <v>0</v>
      </c>
      <c r="AS11" s="18">
        <f t="shared" si="23"/>
        <v>0</v>
      </c>
      <c r="AT11" s="17">
        <v>0</v>
      </c>
      <c r="AU11" s="18">
        <f t="shared" si="24"/>
        <v>0</v>
      </c>
      <c r="AV11" s="17">
        <f t="shared" si="25"/>
        <v>0</v>
      </c>
      <c r="AW11" s="18">
        <f t="shared" si="26"/>
        <v>0</v>
      </c>
      <c r="AX11" s="19">
        <v>0</v>
      </c>
      <c r="AY11" s="20">
        <f t="shared" si="27"/>
        <v>0</v>
      </c>
      <c r="AZ11" s="19">
        <f t="shared" si="28"/>
        <v>0</v>
      </c>
      <c r="BA11" s="20">
        <f t="shared" si="28"/>
        <v>0</v>
      </c>
      <c r="BB11" s="17">
        <v>0</v>
      </c>
      <c r="BC11" s="18">
        <f t="shared" si="29"/>
        <v>0</v>
      </c>
      <c r="BD11" s="17">
        <f t="shared" si="30"/>
        <v>0</v>
      </c>
      <c r="BE11" s="18">
        <f t="shared" si="30"/>
        <v>0</v>
      </c>
      <c r="BF11" s="36">
        <v>0</v>
      </c>
      <c r="BG11" s="35">
        <f t="shared" si="31"/>
        <v>0</v>
      </c>
      <c r="BH11" s="36">
        <f t="shared" si="32"/>
        <v>0</v>
      </c>
      <c r="BI11" s="35">
        <f t="shared" si="32"/>
        <v>0</v>
      </c>
      <c r="BJ11" s="5">
        <f t="shared" si="33"/>
        <v>1551250</v>
      </c>
      <c r="BL11" s="77">
        <f t="shared" si="34"/>
        <v>1551250</v>
      </c>
      <c r="BM11" t="b">
        <f t="shared" si="35"/>
        <v>1</v>
      </c>
    </row>
    <row r="12" spans="1:65" ht="48">
      <c r="A12" s="229"/>
      <c r="B12" s="32" t="s">
        <v>74</v>
      </c>
      <c r="C12" s="33">
        <v>2543044</v>
      </c>
      <c r="D12" s="27" t="s">
        <v>75</v>
      </c>
      <c r="E12" s="25" t="s">
        <v>58</v>
      </c>
      <c r="F12" s="32" t="s">
        <v>59</v>
      </c>
      <c r="G12" s="31" t="s">
        <v>76</v>
      </c>
      <c r="H12" s="26">
        <v>0</v>
      </c>
      <c r="I12" s="18">
        <f t="shared" si="0"/>
        <v>0</v>
      </c>
      <c r="J12" s="17">
        <v>0</v>
      </c>
      <c r="K12" s="18">
        <f t="shared" si="1"/>
        <v>0</v>
      </c>
      <c r="L12" s="17">
        <v>0</v>
      </c>
      <c r="M12" s="18">
        <f t="shared" si="2"/>
        <v>0</v>
      </c>
      <c r="N12" s="17">
        <f t="shared" si="3"/>
        <v>0</v>
      </c>
      <c r="O12" s="18">
        <f t="shared" si="4"/>
        <v>0</v>
      </c>
      <c r="P12" s="19">
        <v>0</v>
      </c>
      <c r="Q12" s="20">
        <f t="shared" si="5"/>
        <v>0</v>
      </c>
      <c r="R12" s="19">
        <v>0</v>
      </c>
      <c r="S12" s="20">
        <f t="shared" si="6"/>
        <v>0</v>
      </c>
      <c r="T12" s="19">
        <f t="shared" si="7"/>
        <v>0</v>
      </c>
      <c r="U12" s="20">
        <f t="shared" si="8"/>
        <v>0</v>
      </c>
      <c r="V12" s="17">
        <v>0</v>
      </c>
      <c r="W12" s="18">
        <f t="shared" si="9"/>
        <v>0</v>
      </c>
      <c r="X12" s="17">
        <f t="shared" si="10"/>
        <v>0</v>
      </c>
      <c r="Y12" s="18">
        <f t="shared" si="10"/>
        <v>0</v>
      </c>
      <c r="Z12" s="19">
        <v>0</v>
      </c>
      <c r="AA12" s="20">
        <f t="shared" si="11"/>
        <v>0</v>
      </c>
      <c r="AB12" s="19">
        <v>4</v>
      </c>
      <c r="AC12" s="20">
        <f t="shared" si="12"/>
        <v>422161.91999999998</v>
      </c>
      <c r="AD12" s="19">
        <f t="shared" si="13"/>
        <v>4</v>
      </c>
      <c r="AE12" s="20">
        <f t="shared" si="14"/>
        <v>422161.91999999998</v>
      </c>
      <c r="AF12" s="17">
        <v>0</v>
      </c>
      <c r="AG12" s="18">
        <f t="shared" si="15"/>
        <v>0</v>
      </c>
      <c r="AH12" s="17">
        <v>0</v>
      </c>
      <c r="AI12" s="18">
        <f t="shared" si="16"/>
        <v>0</v>
      </c>
      <c r="AJ12" s="17">
        <f t="shared" si="17"/>
        <v>0</v>
      </c>
      <c r="AK12" s="18">
        <f t="shared" si="18"/>
        <v>0</v>
      </c>
      <c r="AL12" s="19">
        <v>0</v>
      </c>
      <c r="AM12" s="20">
        <f t="shared" si="19"/>
        <v>0</v>
      </c>
      <c r="AN12" s="19">
        <v>0</v>
      </c>
      <c r="AO12" s="20">
        <f t="shared" si="20"/>
        <v>0</v>
      </c>
      <c r="AP12" s="19">
        <f t="shared" si="21"/>
        <v>0</v>
      </c>
      <c r="AQ12" s="20">
        <f t="shared" si="22"/>
        <v>0</v>
      </c>
      <c r="AR12" s="17">
        <v>0</v>
      </c>
      <c r="AS12" s="18">
        <f t="shared" si="23"/>
        <v>0</v>
      </c>
      <c r="AT12" s="17">
        <v>0</v>
      </c>
      <c r="AU12" s="18">
        <f t="shared" si="24"/>
        <v>0</v>
      </c>
      <c r="AV12" s="17">
        <f t="shared" si="25"/>
        <v>0</v>
      </c>
      <c r="AW12" s="18">
        <f t="shared" si="26"/>
        <v>0</v>
      </c>
      <c r="AX12" s="19">
        <v>0</v>
      </c>
      <c r="AY12" s="20">
        <f t="shared" si="27"/>
        <v>0</v>
      </c>
      <c r="AZ12" s="19">
        <f t="shared" si="28"/>
        <v>0</v>
      </c>
      <c r="BA12" s="20">
        <f t="shared" si="28"/>
        <v>0</v>
      </c>
      <c r="BB12" s="17">
        <v>0</v>
      </c>
      <c r="BC12" s="18">
        <f t="shared" si="29"/>
        <v>0</v>
      </c>
      <c r="BD12" s="17">
        <f t="shared" si="30"/>
        <v>0</v>
      </c>
      <c r="BE12" s="18">
        <f t="shared" si="30"/>
        <v>0</v>
      </c>
      <c r="BF12" s="36">
        <v>0</v>
      </c>
      <c r="BG12" s="35">
        <f t="shared" si="31"/>
        <v>0</v>
      </c>
      <c r="BH12" s="36">
        <f t="shared" si="32"/>
        <v>0</v>
      </c>
      <c r="BI12" s="35">
        <f t="shared" si="32"/>
        <v>0</v>
      </c>
      <c r="BJ12" s="5">
        <f t="shared" si="33"/>
        <v>422161.91999999998</v>
      </c>
      <c r="BL12" s="77">
        <f t="shared" si="34"/>
        <v>422161.91999999998</v>
      </c>
      <c r="BM12" t="b">
        <f t="shared" si="35"/>
        <v>1</v>
      </c>
    </row>
    <row r="13" spans="1:65" ht="48">
      <c r="A13" s="229"/>
      <c r="B13" s="32" t="s">
        <v>77</v>
      </c>
      <c r="C13" s="33">
        <v>2491249</v>
      </c>
      <c r="D13" s="27" t="s">
        <v>78</v>
      </c>
      <c r="E13" s="25" t="s">
        <v>58</v>
      </c>
      <c r="F13" s="32" t="s">
        <v>59</v>
      </c>
      <c r="G13" s="31" t="s">
        <v>56</v>
      </c>
      <c r="H13" s="26">
        <v>0</v>
      </c>
      <c r="I13" s="18">
        <f t="shared" si="0"/>
        <v>0</v>
      </c>
      <c r="J13" s="17">
        <v>0</v>
      </c>
      <c r="K13" s="18">
        <f t="shared" si="1"/>
        <v>0</v>
      </c>
      <c r="L13" s="17">
        <v>0</v>
      </c>
      <c r="M13" s="18">
        <f t="shared" si="2"/>
        <v>0</v>
      </c>
      <c r="N13" s="17">
        <f t="shared" si="3"/>
        <v>0</v>
      </c>
      <c r="O13" s="18">
        <f t="shared" si="4"/>
        <v>0</v>
      </c>
      <c r="P13" s="19">
        <v>0</v>
      </c>
      <c r="Q13" s="20">
        <f t="shared" si="5"/>
        <v>0</v>
      </c>
      <c r="R13" s="19">
        <v>0</v>
      </c>
      <c r="S13" s="20">
        <f t="shared" si="6"/>
        <v>0</v>
      </c>
      <c r="T13" s="19">
        <f t="shared" si="7"/>
        <v>0</v>
      </c>
      <c r="U13" s="20">
        <f t="shared" si="8"/>
        <v>0</v>
      </c>
      <c r="V13" s="17">
        <v>0</v>
      </c>
      <c r="W13" s="18">
        <f t="shared" si="9"/>
        <v>0</v>
      </c>
      <c r="X13" s="17">
        <f t="shared" si="10"/>
        <v>0</v>
      </c>
      <c r="Y13" s="18">
        <f t="shared" si="10"/>
        <v>0</v>
      </c>
      <c r="Z13" s="19">
        <v>0</v>
      </c>
      <c r="AA13" s="20">
        <f t="shared" si="11"/>
        <v>0</v>
      </c>
      <c r="AB13" s="19">
        <v>4</v>
      </c>
      <c r="AC13" s="20">
        <f t="shared" si="12"/>
        <v>422161.91999999998</v>
      </c>
      <c r="AD13" s="19">
        <f t="shared" si="13"/>
        <v>4</v>
      </c>
      <c r="AE13" s="20">
        <f t="shared" si="14"/>
        <v>422161.91999999998</v>
      </c>
      <c r="AF13" s="17">
        <v>0</v>
      </c>
      <c r="AG13" s="18">
        <f t="shared" si="15"/>
        <v>0</v>
      </c>
      <c r="AH13" s="17">
        <v>0</v>
      </c>
      <c r="AI13" s="18">
        <f t="shared" si="16"/>
        <v>0</v>
      </c>
      <c r="AJ13" s="17">
        <f t="shared" si="17"/>
        <v>0</v>
      </c>
      <c r="AK13" s="18">
        <f t="shared" si="18"/>
        <v>0</v>
      </c>
      <c r="AL13" s="19">
        <v>0</v>
      </c>
      <c r="AM13" s="20">
        <f t="shared" si="19"/>
        <v>0</v>
      </c>
      <c r="AN13" s="19">
        <v>0</v>
      </c>
      <c r="AO13" s="20">
        <f t="shared" si="20"/>
        <v>0</v>
      </c>
      <c r="AP13" s="19">
        <f t="shared" si="21"/>
        <v>0</v>
      </c>
      <c r="AQ13" s="20">
        <f t="shared" si="22"/>
        <v>0</v>
      </c>
      <c r="AR13" s="17">
        <v>0</v>
      </c>
      <c r="AS13" s="18">
        <f t="shared" si="23"/>
        <v>0</v>
      </c>
      <c r="AT13" s="17">
        <v>0</v>
      </c>
      <c r="AU13" s="18">
        <f t="shared" si="24"/>
        <v>0</v>
      </c>
      <c r="AV13" s="17">
        <f t="shared" si="25"/>
        <v>0</v>
      </c>
      <c r="AW13" s="18">
        <f t="shared" si="26"/>
        <v>0</v>
      </c>
      <c r="AX13" s="19">
        <v>0</v>
      </c>
      <c r="AY13" s="20">
        <f t="shared" si="27"/>
        <v>0</v>
      </c>
      <c r="AZ13" s="19">
        <f t="shared" si="28"/>
        <v>0</v>
      </c>
      <c r="BA13" s="20">
        <f t="shared" si="28"/>
        <v>0</v>
      </c>
      <c r="BB13" s="17">
        <v>0</v>
      </c>
      <c r="BC13" s="18">
        <f t="shared" si="29"/>
        <v>0</v>
      </c>
      <c r="BD13" s="17">
        <f t="shared" si="30"/>
        <v>0</v>
      </c>
      <c r="BE13" s="18">
        <f t="shared" si="30"/>
        <v>0</v>
      </c>
      <c r="BF13" s="36">
        <v>0</v>
      </c>
      <c r="BG13" s="35">
        <f t="shared" si="31"/>
        <v>0</v>
      </c>
      <c r="BH13" s="36">
        <f t="shared" si="32"/>
        <v>0</v>
      </c>
      <c r="BI13" s="35">
        <f t="shared" si="32"/>
        <v>0</v>
      </c>
      <c r="BJ13" s="5">
        <f t="shared" si="33"/>
        <v>422161.91999999998</v>
      </c>
      <c r="BL13" s="77">
        <f t="shared" si="34"/>
        <v>422161.91999999998</v>
      </c>
      <c r="BM13" t="b">
        <f t="shared" si="35"/>
        <v>1</v>
      </c>
    </row>
    <row r="14" spans="1:65" ht="48">
      <c r="A14" s="229" t="s">
        <v>79</v>
      </c>
      <c r="B14" s="32" t="s">
        <v>80</v>
      </c>
      <c r="C14" s="33">
        <v>2521695</v>
      </c>
      <c r="D14" s="27" t="s">
        <v>81</v>
      </c>
      <c r="E14" s="25" t="s">
        <v>58</v>
      </c>
      <c r="F14" s="110" t="s">
        <v>59</v>
      </c>
      <c r="G14" s="110" t="s">
        <v>56</v>
      </c>
      <c r="H14" s="26">
        <v>0</v>
      </c>
      <c r="I14" s="18">
        <f t="shared" si="0"/>
        <v>0</v>
      </c>
      <c r="J14" s="17">
        <v>0</v>
      </c>
      <c r="K14" s="18">
        <f t="shared" si="1"/>
        <v>0</v>
      </c>
      <c r="L14" s="17">
        <v>0</v>
      </c>
      <c r="M14" s="18">
        <f t="shared" si="2"/>
        <v>0</v>
      </c>
      <c r="N14" s="17">
        <f t="shared" si="3"/>
        <v>0</v>
      </c>
      <c r="O14" s="18">
        <f t="shared" si="4"/>
        <v>0</v>
      </c>
      <c r="P14" s="19">
        <v>10</v>
      </c>
      <c r="Q14" s="20">
        <f t="shared" si="5"/>
        <v>930750</v>
      </c>
      <c r="R14" s="19">
        <v>10</v>
      </c>
      <c r="S14" s="20">
        <f t="shared" si="6"/>
        <v>620500</v>
      </c>
      <c r="T14" s="19">
        <f t="shared" si="7"/>
        <v>20</v>
      </c>
      <c r="U14" s="20">
        <f t="shared" si="8"/>
        <v>1551250</v>
      </c>
      <c r="V14" s="17">
        <v>0</v>
      </c>
      <c r="W14" s="18">
        <f t="shared" si="9"/>
        <v>0</v>
      </c>
      <c r="X14" s="17">
        <f t="shared" si="10"/>
        <v>0</v>
      </c>
      <c r="Y14" s="18">
        <f t="shared" si="10"/>
        <v>0</v>
      </c>
      <c r="Z14" s="19">
        <v>0</v>
      </c>
      <c r="AA14" s="20">
        <f t="shared" si="11"/>
        <v>0</v>
      </c>
      <c r="AB14" s="19">
        <v>0</v>
      </c>
      <c r="AC14" s="20">
        <f t="shared" si="12"/>
        <v>0</v>
      </c>
      <c r="AD14" s="19">
        <f t="shared" si="13"/>
        <v>0</v>
      </c>
      <c r="AE14" s="20">
        <f t="shared" si="14"/>
        <v>0</v>
      </c>
      <c r="AF14" s="17">
        <v>0</v>
      </c>
      <c r="AG14" s="18">
        <f t="shared" si="15"/>
        <v>0</v>
      </c>
      <c r="AH14" s="17">
        <v>0</v>
      </c>
      <c r="AI14" s="18">
        <f t="shared" si="16"/>
        <v>0</v>
      </c>
      <c r="AJ14" s="17">
        <f t="shared" si="17"/>
        <v>0</v>
      </c>
      <c r="AK14" s="18">
        <f t="shared" si="18"/>
        <v>0</v>
      </c>
      <c r="AL14" s="19">
        <v>0</v>
      </c>
      <c r="AM14" s="20">
        <f t="shared" si="19"/>
        <v>0</v>
      </c>
      <c r="AN14" s="19">
        <v>0</v>
      </c>
      <c r="AO14" s="20">
        <f t="shared" si="20"/>
        <v>0</v>
      </c>
      <c r="AP14" s="19">
        <f t="shared" si="21"/>
        <v>0</v>
      </c>
      <c r="AQ14" s="20">
        <f t="shared" si="22"/>
        <v>0</v>
      </c>
      <c r="AR14" s="17">
        <v>0</v>
      </c>
      <c r="AS14" s="18">
        <f t="shared" si="23"/>
        <v>0</v>
      </c>
      <c r="AT14" s="17">
        <v>0</v>
      </c>
      <c r="AU14" s="18">
        <f t="shared" si="24"/>
        <v>0</v>
      </c>
      <c r="AV14" s="17">
        <f t="shared" si="25"/>
        <v>0</v>
      </c>
      <c r="AW14" s="18">
        <f t="shared" si="26"/>
        <v>0</v>
      </c>
      <c r="AX14" s="19">
        <v>0</v>
      </c>
      <c r="AY14" s="20">
        <f t="shared" si="27"/>
        <v>0</v>
      </c>
      <c r="AZ14" s="19">
        <f t="shared" si="28"/>
        <v>0</v>
      </c>
      <c r="BA14" s="20">
        <f t="shared" si="28"/>
        <v>0</v>
      </c>
      <c r="BB14" s="17">
        <v>0</v>
      </c>
      <c r="BC14" s="18">
        <f t="shared" si="29"/>
        <v>0</v>
      </c>
      <c r="BD14" s="17">
        <f t="shared" si="30"/>
        <v>0</v>
      </c>
      <c r="BE14" s="18">
        <f t="shared" si="30"/>
        <v>0</v>
      </c>
      <c r="BF14" s="36">
        <v>0</v>
      </c>
      <c r="BG14" s="35">
        <f t="shared" si="31"/>
        <v>0</v>
      </c>
      <c r="BH14" s="36">
        <f t="shared" si="32"/>
        <v>0</v>
      </c>
      <c r="BI14" s="35">
        <f t="shared" si="32"/>
        <v>0</v>
      </c>
      <c r="BJ14" s="5">
        <f t="shared" si="33"/>
        <v>1551250</v>
      </c>
      <c r="BL14" s="77">
        <f t="shared" si="34"/>
        <v>1551250</v>
      </c>
      <c r="BM14" t="b">
        <f t="shared" si="35"/>
        <v>1</v>
      </c>
    </row>
    <row r="15" spans="1:65" ht="120">
      <c r="A15" s="229"/>
      <c r="B15" s="32" t="s">
        <v>82</v>
      </c>
      <c r="C15" s="33">
        <v>2521792</v>
      </c>
      <c r="D15" s="27" t="s">
        <v>83</v>
      </c>
      <c r="E15" s="25" t="s">
        <v>58</v>
      </c>
      <c r="F15" s="110" t="s">
        <v>59</v>
      </c>
      <c r="G15" s="31" t="s">
        <v>56</v>
      </c>
      <c r="H15" s="26">
        <v>0</v>
      </c>
      <c r="I15" s="18">
        <f t="shared" si="0"/>
        <v>0</v>
      </c>
      <c r="J15" s="17">
        <v>0</v>
      </c>
      <c r="K15" s="18">
        <f t="shared" si="1"/>
        <v>0</v>
      </c>
      <c r="L15" s="17">
        <v>0</v>
      </c>
      <c r="M15" s="18">
        <f t="shared" si="2"/>
        <v>0</v>
      </c>
      <c r="N15" s="17">
        <f t="shared" si="3"/>
        <v>0</v>
      </c>
      <c r="O15" s="18">
        <f t="shared" si="4"/>
        <v>0</v>
      </c>
      <c r="P15" s="19"/>
      <c r="Q15" s="20">
        <f t="shared" si="5"/>
        <v>0</v>
      </c>
      <c r="R15" s="19">
        <v>0</v>
      </c>
      <c r="S15" s="20">
        <f t="shared" si="6"/>
        <v>0</v>
      </c>
      <c r="T15" s="19">
        <f t="shared" si="7"/>
        <v>0</v>
      </c>
      <c r="U15" s="20">
        <f t="shared" si="8"/>
        <v>0</v>
      </c>
      <c r="V15" s="17">
        <v>0</v>
      </c>
      <c r="W15" s="18">
        <f t="shared" si="9"/>
        <v>0</v>
      </c>
      <c r="X15" s="17">
        <f t="shared" si="10"/>
        <v>0</v>
      </c>
      <c r="Y15" s="18">
        <f t="shared" si="10"/>
        <v>0</v>
      </c>
      <c r="Z15" s="19">
        <v>0</v>
      </c>
      <c r="AA15" s="20">
        <f t="shared" si="11"/>
        <v>0</v>
      </c>
      <c r="AB15" s="19">
        <v>5</v>
      </c>
      <c r="AC15" s="20">
        <f t="shared" si="12"/>
        <v>527702.4</v>
      </c>
      <c r="AD15" s="19">
        <f t="shared" si="13"/>
        <v>5</v>
      </c>
      <c r="AE15" s="20">
        <f t="shared" si="14"/>
        <v>527702.4</v>
      </c>
      <c r="AF15" s="17">
        <v>0</v>
      </c>
      <c r="AG15" s="18">
        <f t="shared" si="15"/>
        <v>0</v>
      </c>
      <c r="AH15" s="17">
        <v>0</v>
      </c>
      <c r="AI15" s="18">
        <f t="shared" si="16"/>
        <v>0</v>
      </c>
      <c r="AJ15" s="17">
        <f t="shared" si="17"/>
        <v>0</v>
      </c>
      <c r="AK15" s="18">
        <f t="shared" si="18"/>
        <v>0</v>
      </c>
      <c r="AL15" s="19">
        <v>0</v>
      </c>
      <c r="AM15" s="20">
        <f t="shared" si="19"/>
        <v>0</v>
      </c>
      <c r="AN15" s="19">
        <v>0</v>
      </c>
      <c r="AO15" s="20">
        <f t="shared" si="20"/>
        <v>0</v>
      </c>
      <c r="AP15" s="19">
        <f t="shared" si="21"/>
        <v>0</v>
      </c>
      <c r="AQ15" s="20">
        <f t="shared" si="22"/>
        <v>0</v>
      </c>
      <c r="AR15" s="17">
        <v>0</v>
      </c>
      <c r="AS15" s="18">
        <f t="shared" si="23"/>
        <v>0</v>
      </c>
      <c r="AT15" s="17">
        <v>0</v>
      </c>
      <c r="AU15" s="18">
        <f t="shared" si="24"/>
        <v>0</v>
      </c>
      <c r="AV15" s="17">
        <f t="shared" si="25"/>
        <v>0</v>
      </c>
      <c r="AW15" s="18">
        <f t="shared" si="26"/>
        <v>0</v>
      </c>
      <c r="AX15" s="19">
        <v>0</v>
      </c>
      <c r="AY15" s="20">
        <f t="shared" si="27"/>
        <v>0</v>
      </c>
      <c r="AZ15" s="19">
        <f t="shared" si="28"/>
        <v>0</v>
      </c>
      <c r="BA15" s="20">
        <f t="shared" si="28"/>
        <v>0</v>
      </c>
      <c r="BB15" s="17">
        <v>0</v>
      </c>
      <c r="BC15" s="18">
        <f t="shared" si="29"/>
        <v>0</v>
      </c>
      <c r="BD15" s="17">
        <f t="shared" si="30"/>
        <v>0</v>
      </c>
      <c r="BE15" s="18">
        <f t="shared" si="30"/>
        <v>0</v>
      </c>
      <c r="BF15" s="36">
        <v>0</v>
      </c>
      <c r="BG15" s="35">
        <f t="shared" si="31"/>
        <v>0</v>
      </c>
      <c r="BH15" s="36">
        <f t="shared" si="32"/>
        <v>0</v>
      </c>
      <c r="BI15" s="35">
        <f t="shared" si="32"/>
        <v>0</v>
      </c>
      <c r="BJ15" s="5">
        <f t="shared" si="33"/>
        <v>527702.4</v>
      </c>
      <c r="BL15" s="77">
        <f t="shared" si="34"/>
        <v>527702.4</v>
      </c>
      <c r="BM15" t="b">
        <f t="shared" si="35"/>
        <v>1</v>
      </c>
    </row>
    <row r="16" spans="1:65" ht="120">
      <c r="A16" s="229"/>
      <c r="B16" s="32" t="s">
        <v>84</v>
      </c>
      <c r="C16" s="33">
        <v>2379333</v>
      </c>
      <c r="D16" s="27" t="s">
        <v>85</v>
      </c>
      <c r="E16" s="25" t="s">
        <v>58</v>
      </c>
      <c r="F16" s="31" t="s">
        <v>59</v>
      </c>
      <c r="G16" s="31" t="s">
        <v>62</v>
      </c>
      <c r="H16" s="26">
        <v>0</v>
      </c>
      <c r="I16" s="18">
        <f t="shared" si="0"/>
        <v>0</v>
      </c>
      <c r="J16" s="17">
        <v>0</v>
      </c>
      <c r="K16" s="18">
        <f t="shared" si="1"/>
        <v>0</v>
      </c>
      <c r="L16" s="17">
        <v>0</v>
      </c>
      <c r="M16" s="18">
        <f t="shared" si="2"/>
        <v>0</v>
      </c>
      <c r="N16" s="17">
        <f t="shared" si="3"/>
        <v>0</v>
      </c>
      <c r="O16" s="18">
        <f t="shared" si="4"/>
        <v>0</v>
      </c>
      <c r="P16" s="19"/>
      <c r="Q16" s="20">
        <f t="shared" si="5"/>
        <v>0</v>
      </c>
      <c r="R16" s="19">
        <v>0</v>
      </c>
      <c r="S16" s="20">
        <f t="shared" si="6"/>
        <v>0</v>
      </c>
      <c r="T16" s="19">
        <f t="shared" si="7"/>
        <v>0</v>
      </c>
      <c r="U16" s="20">
        <f t="shared" si="8"/>
        <v>0</v>
      </c>
      <c r="V16" s="17">
        <v>0</v>
      </c>
      <c r="W16" s="18">
        <f t="shared" si="9"/>
        <v>0</v>
      </c>
      <c r="X16" s="17">
        <f t="shared" si="10"/>
        <v>0</v>
      </c>
      <c r="Y16" s="18">
        <f t="shared" si="10"/>
        <v>0</v>
      </c>
      <c r="Z16" s="19">
        <v>0</v>
      </c>
      <c r="AA16" s="20">
        <f t="shared" si="11"/>
        <v>0</v>
      </c>
      <c r="AB16" s="19">
        <v>3</v>
      </c>
      <c r="AC16" s="20">
        <f t="shared" si="12"/>
        <v>316621.44</v>
      </c>
      <c r="AD16" s="19">
        <f t="shared" si="13"/>
        <v>3</v>
      </c>
      <c r="AE16" s="20">
        <f t="shared" si="14"/>
        <v>316621.44</v>
      </c>
      <c r="AF16" s="17">
        <v>0</v>
      </c>
      <c r="AG16" s="18">
        <f t="shared" si="15"/>
        <v>0</v>
      </c>
      <c r="AH16" s="17">
        <v>0</v>
      </c>
      <c r="AI16" s="18">
        <f t="shared" si="16"/>
        <v>0</v>
      </c>
      <c r="AJ16" s="17">
        <f t="shared" si="17"/>
        <v>0</v>
      </c>
      <c r="AK16" s="18">
        <f t="shared" si="18"/>
        <v>0</v>
      </c>
      <c r="AL16" s="19">
        <v>0</v>
      </c>
      <c r="AM16" s="20">
        <f t="shared" si="19"/>
        <v>0</v>
      </c>
      <c r="AN16" s="19">
        <v>0</v>
      </c>
      <c r="AO16" s="20">
        <f t="shared" si="20"/>
        <v>0</v>
      </c>
      <c r="AP16" s="19">
        <f t="shared" si="21"/>
        <v>0</v>
      </c>
      <c r="AQ16" s="20">
        <f t="shared" si="22"/>
        <v>0</v>
      </c>
      <c r="AR16" s="17">
        <v>0</v>
      </c>
      <c r="AS16" s="18">
        <f t="shared" si="23"/>
        <v>0</v>
      </c>
      <c r="AT16" s="17">
        <v>0</v>
      </c>
      <c r="AU16" s="18">
        <f t="shared" si="24"/>
        <v>0</v>
      </c>
      <c r="AV16" s="17">
        <f t="shared" si="25"/>
        <v>0</v>
      </c>
      <c r="AW16" s="18">
        <f t="shared" si="26"/>
        <v>0</v>
      </c>
      <c r="AX16" s="19">
        <v>0</v>
      </c>
      <c r="AY16" s="20">
        <f t="shared" si="27"/>
        <v>0</v>
      </c>
      <c r="AZ16" s="19">
        <f t="shared" si="28"/>
        <v>0</v>
      </c>
      <c r="BA16" s="20">
        <f t="shared" si="28"/>
        <v>0</v>
      </c>
      <c r="BB16" s="17">
        <v>0</v>
      </c>
      <c r="BC16" s="18">
        <f t="shared" si="29"/>
        <v>0</v>
      </c>
      <c r="BD16" s="17">
        <f t="shared" si="30"/>
        <v>0</v>
      </c>
      <c r="BE16" s="18">
        <f t="shared" si="30"/>
        <v>0</v>
      </c>
      <c r="BF16" s="36">
        <v>0</v>
      </c>
      <c r="BG16" s="35">
        <f t="shared" si="31"/>
        <v>0</v>
      </c>
      <c r="BH16" s="36">
        <f t="shared" si="32"/>
        <v>0</v>
      </c>
      <c r="BI16" s="35">
        <f t="shared" si="32"/>
        <v>0</v>
      </c>
      <c r="BJ16" s="5">
        <f t="shared" si="33"/>
        <v>316621.44</v>
      </c>
      <c r="BL16" s="77">
        <f t="shared" si="34"/>
        <v>316621.44</v>
      </c>
      <c r="BM16" t="b">
        <f t="shared" si="35"/>
        <v>1</v>
      </c>
    </row>
    <row r="17" spans="1:65">
      <c r="A17" s="225" t="s">
        <v>5</v>
      </c>
      <c r="B17" s="225"/>
      <c r="C17" s="225"/>
      <c r="D17" s="225"/>
      <c r="E17" s="225"/>
      <c r="F17" s="225"/>
      <c r="G17" s="225"/>
      <c r="H17" s="29">
        <f t="shared" ref="H17:AG17" si="36">SUM(H4:H16)</f>
        <v>0</v>
      </c>
      <c r="I17" s="30">
        <f t="shared" si="36"/>
        <v>0</v>
      </c>
      <c r="J17" s="29">
        <f t="shared" si="36"/>
        <v>1</v>
      </c>
      <c r="K17" s="30">
        <f t="shared" si="36"/>
        <v>2400000</v>
      </c>
      <c r="L17" s="29">
        <f t="shared" si="36"/>
        <v>3</v>
      </c>
      <c r="M17" s="30">
        <f t="shared" si="36"/>
        <v>10800000</v>
      </c>
      <c r="N17" s="29">
        <f t="shared" si="36"/>
        <v>4</v>
      </c>
      <c r="O17" s="30">
        <f t="shared" si="36"/>
        <v>13200000</v>
      </c>
      <c r="P17" s="29">
        <f t="shared" si="36"/>
        <v>41</v>
      </c>
      <c r="Q17" s="30">
        <f t="shared" si="36"/>
        <v>3816075</v>
      </c>
      <c r="R17" s="34">
        <f t="shared" si="36"/>
        <v>38</v>
      </c>
      <c r="S17" s="30">
        <f t="shared" si="36"/>
        <v>2357900</v>
      </c>
      <c r="T17" s="29">
        <f t="shared" si="36"/>
        <v>79</v>
      </c>
      <c r="U17" s="30">
        <f t="shared" si="36"/>
        <v>6173975</v>
      </c>
      <c r="V17" s="34">
        <f t="shared" si="36"/>
        <v>0</v>
      </c>
      <c r="W17" s="30">
        <f t="shared" si="36"/>
        <v>0</v>
      </c>
      <c r="X17" s="29">
        <f t="shared" si="36"/>
        <v>0</v>
      </c>
      <c r="Y17" s="30">
        <f t="shared" si="36"/>
        <v>0</v>
      </c>
      <c r="Z17" s="29">
        <f t="shared" si="36"/>
        <v>0</v>
      </c>
      <c r="AA17" s="30">
        <f t="shared" si="36"/>
        <v>0</v>
      </c>
      <c r="AB17" s="29">
        <f t="shared" si="36"/>
        <v>48</v>
      </c>
      <c r="AC17" s="30">
        <f t="shared" si="36"/>
        <v>5065943.040000001</v>
      </c>
      <c r="AD17" s="34">
        <f t="shared" si="36"/>
        <v>48</v>
      </c>
      <c r="AE17" s="30">
        <f t="shared" si="36"/>
        <v>5065943.040000001</v>
      </c>
      <c r="AF17" s="29">
        <f t="shared" si="36"/>
        <v>0</v>
      </c>
      <c r="AG17" s="30">
        <f t="shared" si="36"/>
        <v>0</v>
      </c>
      <c r="AH17" s="30">
        <v>0</v>
      </c>
      <c r="AI17" s="30">
        <f t="shared" ref="AI17:BE17" si="37">SUM(AI4:AI16)</f>
        <v>0</v>
      </c>
      <c r="AJ17" s="29">
        <f t="shared" si="37"/>
        <v>0</v>
      </c>
      <c r="AK17" s="30">
        <f t="shared" si="37"/>
        <v>0</v>
      </c>
      <c r="AL17" s="29">
        <f t="shared" si="37"/>
        <v>0</v>
      </c>
      <c r="AM17" s="30">
        <f t="shared" si="37"/>
        <v>0</v>
      </c>
      <c r="AN17" s="29">
        <f t="shared" si="37"/>
        <v>8</v>
      </c>
      <c r="AO17" s="30">
        <f t="shared" si="37"/>
        <v>844323.83999999997</v>
      </c>
      <c r="AP17" s="34">
        <f t="shared" si="37"/>
        <v>8</v>
      </c>
      <c r="AQ17" s="30">
        <f t="shared" si="37"/>
        <v>844323.83999999997</v>
      </c>
      <c r="AR17" s="29">
        <f t="shared" si="37"/>
        <v>0</v>
      </c>
      <c r="AS17" s="30">
        <f t="shared" si="37"/>
        <v>0</v>
      </c>
      <c r="AT17" s="29">
        <f t="shared" si="37"/>
        <v>0</v>
      </c>
      <c r="AU17" s="30">
        <f t="shared" si="37"/>
        <v>0</v>
      </c>
      <c r="AV17" s="29">
        <f t="shared" si="37"/>
        <v>0</v>
      </c>
      <c r="AW17" s="30">
        <f t="shared" si="37"/>
        <v>0</v>
      </c>
      <c r="AX17" s="29">
        <f t="shared" si="37"/>
        <v>0</v>
      </c>
      <c r="AY17" s="30">
        <f t="shared" si="37"/>
        <v>0</v>
      </c>
      <c r="AZ17" s="29">
        <f t="shared" si="37"/>
        <v>0</v>
      </c>
      <c r="BA17" s="30">
        <f t="shared" si="37"/>
        <v>0</v>
      </c>
      <c r="BB17" s="29">
        <f t="shared" si="37"/>
        <v>0</v>
      </c>
      <c r="BC17" s="30">
        <f t="shared" si="37"/>
        <v>0</v>
      </c>
      <c r="BD17" s="29">
        <f t="shared" si="37"/>
        <v>0</v>
      </c>
      <c r="BE17" s="30">
        <f t="shared" si="37"/>
        <v>0</v>
      </c>
      <c r="BF17" s="104">
        <f>SUM(BF4:BF16)</f>
        <v>0</v>
      </c>
      <c r="BG17" s="30">
        <f>SUM(BG4:BG16)</f>
        <v>0</v>
      </c>
      <c r="BH17" s="104">
        <f>SUM(BH4:BH16)</f>
        <v>0</v>
      </c>
      <c r="BI17" s="30">
        <f>SUM(BI4:BI16)</f>
        <v>0</v>
      </c>
      <c r="BJ17" s="30">
        <f>SUM(BJ4:BJ16)</f>
        <v>25284241.880000003</v>
      </c>
      <c r="BL17" s="77">
        <f>SUM(BL4:BL16)</f>
        <v>25284241.880000003</v>
      </c>
      <c r="BM17" t="b">
        <f t="shared" si="35"/>
        <v>1</v>
      </c>
    </row>
    <row r="19" spans="1:65">
      <c r="M19" s="77"/>
      <c r="O19" s="77"/>
      <c r="Z19" s="109"/>
      <c r="AA19" s="77"/>
      <c r="AB19" s="109"/>
      <c r="AC19" s="77"/>
      <c r="AD19" s="108"/>
      <c r="AE19" s="77"/>
    </row>
    <row r="20" spans="1:65">
      <c r="M20" s="77"/>
    </row>
    <row r="21" spans="1:65" ht="15.75" thickBot="1">
      <c r="Z21" s="109"/>
      <c r="AA21" s="77"/>
      <c r="AB21" s="109"/>
      <c r="AC21" s="77"/>
      <c r="AD21" s="108"/>
      <c r="AE21" s="77"/>
    </row>
    <row r="22" spans="1:65" ht="15.75" thickBot="1">
      <c r="Q22" s="77"/>
      <c r="U22" s="77"/>
      <c r="AE22" s="77">
        <f>AC17+AO17</f>
        <v>5910266.8800000008</v>
      </c>
      <c r="AJ22" s="144"/>
    </row>
    <row r="23" spans="1:65" ht="15.75" thickBot="1">
      <c r="AE23" s="77"/>
      <c r="AF23" s="112"/>
      <c r="AJ23" s="145"/>
    </row>
    <row r="24" spans="1:65" ht="15.75" thickBot="1">
      <c r="M24" s="111"/>
      <c r="N24" s="111"/>
      <c r="O24" s="111"/>
      <c r="U24" s="77"/>
      <c r="AC24" s="77"/>
      <c r="AF24" s="105"/>
      <c r="AJ24" s="146"/>
    </row>
    <row r="25" spans="1:65" ht="15.75" thickBot="1">
      <c r="AF25" s="112"/>
      <c r="AG25" s="111"/>
      <c r="AJ25" s="146"/>
    </row>
    <row r="26" spans="1:65" ht="15.75" thickBot="1">
      <c r="AG26" s="77"/>
      <c r="AJ26" s="146"/>
    </row>
    <row r="27" spans="1:65" ht="15.75" thickBot="1">
      <c r="AJ27" s="146"/>
    </row>
  </sheetData>
  <protectedRanges>
    <protectedRange sqref="A4:G16" name="informações"/>
  </protectedRanges>
  <mergeCells count="51">
    <mergeCell ref="A4:A8"/>
    <mergeCell ref="A9:A10"/>
    <mergeCell ref="A11:A13"/>
    <mergeCell ref="A14:A16"/>
    <mergeCell ref="A17:G17"/>
    <mergeCell ref="AX2:AY2"/>
    <mergeCell ref="AN2:AO2"/>
    <mergeCell ref="R2:S2"/>
    <mergeCell ref="T2:U2"/>
    <mergeCell ref="V2:W2"/>
    <mergeCell ref="AZ2:BA2"/>
    <mergeCell ref="BB2:BC2"/>
    <mergeCell ref="BD2:BE2"/>
    <mergeCell ref="BF2:BG2"/>
    <mergeCell ref="BH2:BI2"/>
    <mergeCell ref="AD2:AE2"/>
    <mergeCell ref="AF2:AG2"/>
    <mergeCell ref="AH2:AI2"/>
    <mergeCell ref="AJ2:AK2"/>
    <mergeCell ref="AL2:AM2"/>
    <mergeCell ref="X2:Y2"/>
    <mergeCell ref="Z2:AA2"/>
    <mergeCell ref="AB2:AC2"/>
    <mergeCell ref="G2:G3"/>
    <mergeCell ref="H2:I2"/>
    <mergeCell ref="J2:K2"/>
    <mergeCell ref="L2:M2"/>
    <mergeCell ref="N2:O2"/>
    <mergeCell ref="P2:Q2"/>
    <mergeCell ref="A2:A3"/>
    <mergeCell ref="B2:B3"/>
    <mergeCell ref="C2:C3"/>
    <mergeCell ref="D2:D3"/>
    <mergeCell ref="E2:E3"/>
    <mergeCell ref="F2:F3"/>
    <mergeCell ref="AL1:AQ1"/>
    <mergeCell ref="AR1:AW1"/>
    <mergeCell ref="AX1:BA1"/>
    <mergeCell ref="BB1:BE1"/>
    <mergeCell ref="BF1:BI1"/>
    <mergeCell ref="BJ1:BJ3"/>
    <mergeCell ref="AP2:AQ2"/>
    <mergeCell ref="AR2:AS2"/>
    <mergeCell ref="AT2:AU2"/>
    <mergeCell ref="AV2:AW2"/>
    <mergeCell ref="A1:G1"/>
    <mergeCell ref="H1:O1"/>
    <mergeCell ref="P1:U1"/>
    <mergeCell ref="V1:Y1"/>
    <mergeCell ref="Z1:AE1"/>
    <mergeCell ref="AF1:AK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O74"/>
  <sheetViews>
    <sheetView tabSelected="1" topLeftCell="C1" workbookViewId="0">
      <selection activeCell="H77" sqref="H77"/>
    </sheetView>
  </sheetViews>
  <sheetFormatPr defaultRowHeight="15"/>
  <cols>
    <col min="2" max="2" width="15.42578125" customWidth="1"/>
    <col min="3" max="3" width="20.85546875" customWidth="1"/>
    <col min="4" max="4" width="12.5703125" bestFit="1" customWidth="1"/>
    <col min="5" max="5" width="20.28515625" customWidth="1"/>
    <col min="6" max="6" width="13" customWidth="1"/>
    <col min="7" max="7" width="14.28515625" bestFit="1" customWidth="1"/>
    <col min="8" max="8" width="15.42578125" bestFit="1" customWidth="1"/>
    <col min="9" max="9" width="13.140625" customWidth="1"/>
    <col min="10" max="12" width="14.28515625" bestFit="1" customWidth="1"/>
    <col min="13" max="13" width="16.28515625" customWidth="1"/>
    <col min="14" max="14" width="14.28515625" customWidth="1"/>
    <col min="15" max="15" width="14.28515625" bestFit="1" customWidth="1"/>
  </cols>
  <sheetData>
    <row r="2" spans="2:15" ht="22.5">
      <c r="B2" s="88" t="s">
        <v>151</v>
      </c>
      <c r="C2" s="88" t="s">
        <v>1</v>
      </c>
      <c r="D2" s="88" t="s">
        <v>152</v>
      </c>
      <c r="E2" s="88" t="s">
        <v>131</v>
      </c>
      <c r="F2" s="88" t="s">
        <v>153</v>
      </c>
      <c r="G2" s="88" t="s">
        <v>154</v>
      </c>
      <c r="H2" s="88" t="s">
        <v>155</v>
      </c>
      <c r="I2" s="88" t="s">
        <v>156</v>
      </c>
    </row>
    <row r="3" spans="2:15" ht="15.75" thickBot="1">
      <c r="B3" s="101">
        <v>420910</v>
      </c>
      <c r="C3" s="90" t="s">
        <v>53</v>
      </c>
      <c r="D3" s="98">
        <v>2228760</v>
      </c>
      <c r="E3" s="84">
        <v>7800000</v>
      </c>
      <c r="F3" s="84">
        <v>2217600</v>
      </c>
      <c r="G3" s="84"/>
      <c r="H3" s="84">
        <v>29245329.300000001</v>
      </c>
      <c r="I3" s="84">
        <f>SUM(D3:H3)</f>
        <v>41491689.299999997</v>
      </c>
    </row>
    <row r="4" spans="2:15" ht="33.75">
      <c r="B4" s="76">
        <v>420380</v>
      </c>
      <c r="C4" s="90" t="s">
        <v>77</v>
      </c>
      <c r="D4" s="98">
        <v>651600</v>
      </c>
      <c r="E4" s="6">
        <v>2040000</v>
      </c>
      <c r="F4" s="84">
        <v>486720</v>
      </c>
      <c r="G4" s="84"/>
      <c r="H4" s="84">
        <v>422161.91999999998</v>
      </c>
      <c r="I4" s="84">
        <f t="shared" ref="I4:I19" si="0">SUM(D4:H4)</f>
        <v>3600481.92</v>
      </c>
      <c r="J4" s="77"/>
      <c r="L4" s="114" t="s">
        <v>166</v>
      </c>
      <c r="M4" s="115" t="s">
        <v>167</v>
      </c>
      <c r="N4" s="115" t="s">
        <v>168</v>
      </c>
      <c r="O4" s="116" t="s">
        <v>169</v>
      </c>
    </row>
    <row r="5" spans="2:15" ht="15.75" thickBot="1">
      <c r="B5" s="100">
        <v>420650</v>
      </c>
      <c r="C5" s="91" t="s">
        <v>69</v>
      </c>
      <c r="D5" s="98">
        <v>100500</v>
      </c>
      <c r="E5" s="84"/>
      <c r="F5" s="84"/>
      <c r="G5" s="84"/>
      <c r="H5" s="84">
        <v>775625</v>
      </c>
      <c r="I5" s="84">
        <f t="shared" si="0"/>
        <v>876125</v>
      </c>
      <c r="L5" s="117">
        <v>74490459.379999995</v>
      </c>
      <c r="M5" s="117">
        <v>25284241.880000003</v>
      </c>
      <c r="N5" s="118">
        <f>M5/12</f>
        <v>2107020.1566666667</v>
      </c>
      <c r="O5" s="119">
        <f>N5*7</f>
        <v>14749141.096666668</v>
      </c>
    </row>
    <row r="6" spans="2:15">
      <c r="B6" s="76">
        <v>420790</v>
      </c>
      <c r="C6" s="90" t="s">
        <v>141</v>
      </c>
      <c r="D6" s="98">
        <v>100500</v>
      </c>
      <c r="E6" s="84"/>
      <c r="F6" s="84"/>
      <c r="G6" s="84">
        <v>300000</v>
      </c>
      <c r="H6" s="84"/>
      <c r="I6" s="84">
        <f t="shared" si="0"/>
        <v>400500</v>
      </c>
    </row>
    <row r="7" spans="2:15">
      <c r="B7" s="100">
        <v>420810</v>
      </c>
      <c r="C7" s="91" t="s">
        <v>142</v>
      </c>
      <c r="D7" s="98">
        <v>100500</v>
      </c>
      <c r="E7" s="84"/>
      <c r="F7" s="84"/>
      <c r="G7" s="84"/>
      <c r="H7" s="84"/>
      <c r="I7" s="84">
        <f t="shared" si="0"/>
        <v>100500</v>
      </c>
    </row>
    <row r="8" spans="2:15">
      <c r="B8" s="76">
        <v>420845</v>
      </c>
      <c r="C8" s="90" t="s">
        <v>143</v>
      </c>
      <c r="D8" s="98">
        <v>100500</v>
      </c>
      <c r="E8" s="84"/>
      <c r="F8" s="84"/>
      <c r="G8" s="84">
        <v>300000</v>
      </c>
      <c r="H8" s="84"/>
      <c r="I8" s="84">
        <f t="shared" si="0"/>
        <v>400500</v>
      </c>
      <c r="M8" s="77"/>
      <c r="N8" s="77"/>
      <c r="O8" s="77"/>
    </row>
    <row r="9" spans="2:15" s="155" customFormat="1">
      <c r="B9" s="157">
        <v>420890</v>
      </c>
      <c r="C9" s="158" t="s">
        <v>67</v>
      </c>
      <c r="D9" s="159">
        <v>321600</v>
      </c>
      <c r="E9" s="160">
        <v>2040000</v>
      </c>
      <c r="F9" s="151">
        <v>486720</v>
      </c>
      <c r="G9" s="151"/>
      <c r="H9" s="151">
        <v>5989202.4000000004</v>
      </c>
      <c r="I9" s="151">
        <f t="shared" si="0"/>
        <v>8837522.4000000004</v>
      </c>
      <c r="J9" s="156"/>
      <c r="N9" s="156"/>
      <c r="O9" s="156"/>
    </row>
    <row r="10" spans="2:15">
      <c r="B10" s="101">
        <v>421010</v>
      </c>
      <c r="C10" s="92" t="s">
        <v>84</v>
      </c>
      <c r="D10" s="98">
        <v>321600</v>
      </c>
      <c r="E10" s="6">
        <v>2040000</v>
      </c>
      <c r="F10" s="84">
        <v>486720</v>
      </c>
      <c r="G10" s="84"/>
      <c r="H10" s="84">
        <v>2453696.44</v>
      </c>
      <c r="I10" s="84">
        <f t="shared" si="0"/>
        <v>5302016.4399999995</v>
      </c>
    </row>
    <row r="11" spans="2:15">
      <c r="B11" s="101">
        <v>421360</v>
      </c>
      <c r="C11" s="92" t="s">
        <v>74</v>
      </c>
      <c r="D11" s="98">
        <v>100500</v>
      </c>
      <c r="E11" s="84"/>
      <c r="F11" s="84"/>
      <c r="G11" s="84"/>
      <c r="H11" s="84">
        <v>947761.91999999993</v>
      </c>
      <c r="I11" s="84">
        <f t="shared" si="0"/>
        <v>1048261.9199999999</v>
      </c>
      <c r="N11" s="77"/>
    </row>
    <row r="12" spans="2:15">
      <c r="B12" s="101">
        <v>421620</v>
      </c>
      <c r="C12" s="92" t="s">
        <v>64</v>
      </c>
      <c r="D12" s="98">
        <v>100500</v>
      </c>
      <c r="E12" s="6">
        <v>2040000</v>
      </c>
      <c r="F12" s="84">
        <v>486720</v>
      </c>
      <c r="G12" s="84"/>
      <c r="H12" s="84">
        <v>744600</v>
      </c>
      <c r="I12" s="84">
        <f t="shared" si="0"/>
        <v>3371820</v>
      </c>
      <c r="N12" s="77"/>
    </row>
    <row r="13" spans="2:15">
      <c r="B13" s="45">
        <v>421580</v>
      </c>
      <c r="C13" s="93" t="s">
        <v>82</v>
      </c>
      <c r="D13" s="98">
        <v>100500</v>
      </c>
      <c r="E13" s="6">
        <v>2040000</v>
      </c>
      <c r="F13" s="84">
        <v>486720</v>
      </c>
      <c r="G13" s="84"/>
      <c r="H13" s="84">
        <v>527702.4</v>
      </c>
      <c r="I13" s="84">
        <f t="shared" si="0"/>
        <v>3154922.4</v>
      </c>
    </row>
    <row r="14" spans="2:15">
      <c r="B14" s="101">
        <v>421060</v>
      </c>
      <c r="C14" s="92" t="s">
        <v>157</v>
      </c>
      <c r="D14" s="98"/>
      <c r="E14" s="84"/>
      <c r="F14" s="84"/>
      <c r="G14" s="84">
        <v>300000</v>
      </c>
      <c r="H14" s="84"/>
      <c r="I14" s="84">
        <f t="shared" si="0"/>
        <v>300000</v>
      </c>
    </row>
    <row r="15" spans="2:15" ht="15.75" thickBot="1">
      <c r="B15" s="101">
        <v>420210</v>
      </c>
      <c r="C15" s="92" t="s">
        <v>158</v>
      </c>
      <c r="D15" s="98"/>
      <c r="E15" s="84"/>
      <c r="F15" s="84"/>
      <c r="G15" s="84">
        <v>300000</v>
      </c>
      <c r="H15" s="84"/>
      <c r="I15" s="84">
        <f t="shared" si="0"/>
        <v>300000</v>
      </c>
      <c r="K15" s="71"/>
    </row>
    <row r="16" spans="2:15">
      <c r="B16" s="101">
        <v>421110</v>
      </c>
      <c r="C16" s="92" t="s">
        <v>172</v>
      </c>
      <c r="D16" s="98"/>
      <c r="E16" s="84"/>
      <c r="F16" s="84"/>
      <c r="G16" s="84">
        <v>300000</v>
      </c>
      <c r="H16" s="84"/>
      <c r="I16" s="84">
        <f t="shared" si="0"/>
        <v>300000</v>
      </c>
    </row>
    <row r="17" spans="2:12">
      <c r="B17" s="101">
        <v>421500</v>
      </c>
      <c r="C17" s="87" t="s">
        <v>80</v>
      </c>
      <c r="D17" s="98"/>
      <c r="E17" s="84"/>
      <c r="F17" s="84">
        <v>486720</v>
      </c>
      <c r="G17" s="84"/>
      <c r="H17" s="84">
        <v>2668150</v>
      </c>
      <c r="I17" s="84">
        <f t="shared" si="0"/>
        <v>3154870</v>
      </c>
    </row>
    <row r="18" spans="2:12">
      <c r="B18" s="101">
        <v>421830</v>
      </c>
      <c r="C18" s="87" t="s">
        <v>72</v>
      </c>
      <c r="D18" s="98"/>
      <c r="E18" s="84"/>
      <c r="F18" s="84"/>
      <c r="G18" s="84"/>
      <c r="H18" s="84">
        <v>1551250</v>
      </c>
      <c r="I18" s="84">
        <f t="shared" si="0"/>
        <v>1551250</v>
      </c>
    </row>
    <row r="19" spans="2:12">
      <c r="B19" s="101">
        <v>421220</v>
      </c>
      <c r="C19" s="87" t="s">
        <v>159</v>
      </c>
      <c r="D19" s="98"/>
      <c r="E19" s="84"/>
      <c r="F19" s="84"/>
      <c r="G19" s="84">
        <v>300000</v>
      </c>
      <c r="H19" s="84"/>
      <c r="I19" s="84">
        <f t="shared" si="0"/>
        <v>300000</v>
      </c>
      <c r="J19" s="161"/>
    </row>
    <row r="20" spans="2:12">
      <c r="B20" s="89"/>
      <c r="C20" s="94" t="s">
        <v>5</v>
      </c>
      <c r="D20" s="99">
        <f t="shared" ref="D20:I20" si="1">SUM(D3:D19)</f>
        <v>4227060</v>
      </c>
      <c r="E20" s="95">
        <f t="shared" si="1"/>
        <v>18000000</v>
      </c>
      <c r="F20" s="95">
        <f t="shared" si="1"/>
        <v>5137920</v>
      </c>
      <c r="G20" s="95">
        <f>SUM(G3:G19)</f>
        <v>1800000</v>
      </c>
      <c r="H20" s="95">
        <f t="shared" si="1"/>
        <v>45325479.380000003</v>
      </c>
      <c r="I20" s="95">
        <f t="shared" si="1"/>
        <v>74490459.379999995</v>
      </c>
      <c r="J20" s="77"/>
    </row>
    <row r="21" spans="2:12">
      <c r="H21" s="30"/>
    </row>
    <row r="22" spans="2:12" ht="15.75" thickBot="1">
      <c r="B22" s="106"/>
      <c r="C22" s="107"/>
      <c r="D22" s="106"/>
      <c r="E22" s="107"/>
    </row>
    <row r="23" spans="2:12" ht="15.75" thickBot="1">
      <c r="B23" s="181"/>
      <c r="C23" s="182"/>
      <c r="D23" s="182"/>
      <c r="E23" s="107"/>
      <c r="G23" s="235" t="s">
        <v>162</v>
      </c>
      <c r="H23" s="236"/>
      <c r="I23" s="237"/>
    </row>
    <row r="24" spans="2:12" ht="15.75" thickBot="1">
      <c r="B24" s="183"/>
      <c r="C24" s="184"/>
      <c r="D24" s="185"/>
      <c r="E24" s="107"/>
      <c r="G24" s="139" t="s">
        <v>151</v>
      </c>
      <c r="H24" s="139" t="s">
        <v>1</v>
      </c>
      <c r="I24" s="139" t="s">
        <v>5</v>
      </c>
    </row>
    <row r="25" spans="2:12" ht="15.75" thickBot="1">
      <c r="B25" s="183"/>
      <c r="C25" s="184"/>
      <c r="D25" s="185"/>
      <c r="E25" s="107"/>
      <c r="G25" s="101">
        <v>420910</v>
      </c>
      <c r="H25" s="76" t="s">
        <v>53</v>
      </c>
      <c r="I25" s="142">
        <v>41491689.299999997</v>
      </c>
    </row>
    <row r="26" spans="2:12" ht="15.75" thickBot="1">
      <c r="B26" s="186"/>
      <c r="C26" s="187"/>
      <c r="D26" s="185"/>
      <c r="E26" s="107"/>
      <c r="G26" s="76">
        <v>420380</v>
      </c>
      <c r="H26" s="76" t="s">
        <v>77</v>
      </c>
      <c r="I26" s="142">
        <v>3600481.92</v>
      </c>
    </row>
    <row r="27" spans="2:12" ht="15.75" thickBot="1">
      <c r="B27" s="183"/>
      <c r="C27" s="184"/>
      <c r="D27" s="185"/>
      <c r="E27" s="107"/>
      <c r="G27" s="100">
        <v>420650</v>
      </c>
      <c r="H27" s="100" t="s">
        <v>69</v>
      </c>
      <c r="I27" s="142">
        <v>876125</v>
      </c>
    </row>
    <row r="28" spans="2:12" ht="15.75" thickBot="1">
      <c r="B28" s="186"/>
      <c r="C28" s="187"/>
      <c r="D28" s="185"/>
      <c r="E28" s="107"/>
      <c r="G28" s="76">
        <v>420790</v>
      </c>
      <c r="H28" s="76" t="s">
        <v>141</v>
      </c>
      <c r="I28" s="142">
        <v>400500</v>
      </c>
      <c r="L28" s="105"/>
    </row>
    <row r="29" spans="2:12" ht="15.75" thickBot="1">
      <c r="B29" s="183"/>
      <c r="C29" s="184"/>
      <c r="D29" s="185"/>
      <c r="E29" s="107"/>
      <c r="G29" s="100">
        <v>420810</v>
      </c>
      <c r="H29" s="100" t="s">
        <v>142</v>
      </c>
      <c r="I29" s="142">
        <v>100500</v>
      </c>
    </row>
    <row r="30" spans="2:12" ht="15.75" thickBot="1">
      <c r="B30" s="183"/>
      <c r="C30" s="184"/>
      <c r="D30" s="188"/>
      <c r="E30" s="107"/>
      <c r="G30" s="76">
        <v>420845</v>
      </c>
      <c r="H30" s="76" t="s">
        <v>143</v>
      </c>
      <c r="I30" s="142">
        <v>400500</v>
      </c>
    </row>
    <row r="31" spans="2:12" ht="15.75" thickBot="1">
      <c r="B31" s="183"/>
      <c r="C31" s="184"/>
      <c r="D31" s="185"/>
      <c r="E31" s="107"/>
      <c r="G31" s="157">
        <v>420890</v>
      </c>
      <c r="H31" s="157" t="s">
        <v>67</v>
      </c>
      <c r="I31" s="151">
        <v>8837522.4000000004</v>
      </c>
      <c r="L31" s="105"/>
    </row>
    <row r="32" spans="2:12" ht="15.75" thickBot="1">
      <c r="B32" s="183"/>
      <c r="C32" s="184"/>
      <c r="D32" s="185"/>
      <c r="E32" s="107"/>
      <c r="G32" s="101">
        <v>421010</v>
      </c>
      <c r="H32" s="101" t="s">
        <v>84</v>
      </c>
      <c r="I32" s="142">
        <v>5302016.4399999995</v>
      </c>
    </row>
    <row r="33" spans="2:12" ht="15.75" thickBot="1">
      <c r="B33" s="183"/>
      <c r="C33" s="184"/>
      <c r="D33" s="185"/>
      <c r="E33" s="107"/>
      <c r="G33" s="101">
        <v>421360</v>
      </c>
      <c r="H33" s="101" t="s">
        <v>74</v>
      </c>
      <c r="I33" s="142">
        <v>1048261.9199999999</v>
      </c>
    </row>
    <row r="34" spans="2:12" ht="23.25" thickBot="1">
      <c r="B34" s="189"/>
      <c r="C34" s="190"/>
      <c r="D34" s="185"/>
      <c r="E34" s="107"/>
      <c r="G34" s="101">
        <v>421620</v>
      </c>
      <c r="H34" s="101" t="s">
        <v>64</v>
      </c>
      <c r="I34" s="142">
        <v>3371820</v>
      </c>
    </row>
    <row r="35" spans="2:12" ht="15.75" thickBot="1">
      <c r="B35" s="183"/>
      <c r="C35" s="184"/>
      <c r="D35" s="185"/>
      <c r="E35" s="107"/>
      <c r="G35" s="45">
        <v>421580</v>
      </c>
      <c r="H35" s="45" t="s">
        <v>82</v>
      </c>
      <c r="I35" s="142">
        <v>3154922.4</v>
      </c>
    </row>
    <row r="36" spans="2:12" ht="15.75" thickBot="1">
      <c r="B36" s="183"/>
      <c r="C36" s="184"/>
      <c r="D36" s="185"/>
      <c r="E36" s="107"/>
      <c r="G36" s="101">
        <v>421060</v>
      </c>
      <c r="H36" s="101" t="s">
        <v>157</v>
      </c>
      <c r="I36" s="142">
        <v>300000</v>
      </c>
    </row>
    <row r="37" spans="2:12" ht="15.75" thickBot="1">
      <c r="B37" s="183"/>
      <c r="C37" s="184"/>
      <c r="D37" s="185"/>
      <c r="E37" s="106"/>
      <c r="G37" s="101">
        <v>420210</v>
      </c>
      <c r="H37" s="101" t="s">
        <v>158</v>
      </c>
      <c r="I37" s="142">
        <v>300000</v>
      </c>
    </row>
    <row r="38" spans="2:12" ht="15.75" thickBot="1">
      <c r="B38" s="183"/>
      <c r="C38" s="184"/>
      <c r="D38" s="185"/>
      <c r="E38" s="107"/>
      <c r="G38" s="101">
        <v>421110</v>
      </c>
      <c r="H38" s="101" t="s">
        <v>172</v>
      </c>
      <c r="I38" s="142">
        <v>300000</v>
      </c>
    </row>
    <row r="39" spans="2:12" ht="15.75" thickBot="1">
      <c r="B39" s="183"/>
      <c r="C39" s="184"/>
      <c r="D39" s="185"/>
      <c r="E39" s="107"/>
      <c r="G39" s="101">
        <v>421500</v>
      </c>
      <c r="H39" s="101" t="s">
        <v>80</v>
      </c>
      <c r="I39" s="142">
        <v>3154870</v>
      </c>
    </row>
    <row r="40" spans="2:12" ht="15.75" thickBot="1">
      <c r="B40" s="183"/>
      <c r="C40" s="184"/>
      <c r="D40" s="185"/>
      <c r="E40" s="107"/>
      <c r="G40" s="101">
        <v>421830</v>
      </c>
      <c r="H40" s="101" t="s">
        <v>72</v>
      </c>
      <c r="I40" s="142">
        <v>1551250</v>
      </c>
    </row>
    <row r="41" spans="2:12" ht="15.75" thickBot="1">
      <c r="B41" s="242"/>
      <c r="C41" s="243"/>
      <c r="D41" s="185"/>
      <c r="E41" s="107"/>
      <c r="G41" s="101">
        <v>421220</v>
      </c>
      <c r="H41" s="101" t="s">
        <v>159</v>
      </c>
      <c r="I41" s="142">
        <v>300000</v>
      </c>
    </row>
    <row r="42" spans="2:12">
      <c r="B42" s="106"/>
      <c r="C42" s="106"/>
      <c r="D42" s="106"/>
      <c r="E42" s="107"/>
      <c r="G42" s="139" t="s">
        <v>5</v>
      </c>
      <c r="H42" s="139"/>
      <c r="I42" s="95">
        <f>SUM(I25:I41)</f>
        <v>74490459.379999995</v>
      </c>
    </row>
    <row r="43" spans="2:12">
      <c r="B43" s="106"/>
      <c r="C43" s="106"/>
      <c r="D43" s="106"/>
      <c r="E43" s="107"/>
      <c r="L43" s="143"/>
    </row>
    <row r="44" spans="2:12" ht="15.75" thickBot="1">
      <c r="L44" s="77"/>
    </row>
    <row r="45" spans="2:12" ht="15.75" thickBot="1">
      <c r="B45" s="238" t="s">
        <v>161</v>
      </c>
      <c r="C45" s="239"/>
      <c r="D45" s="239"/>
      <c r="E45" s="239"/>
      <c r="F45" s="239"/>
      <c r="G45" s="239"/>
      <c r="H45" s="239"/>
      <c r="I45" s="240"/>
      <c r="K45" s="161">
        <v>14845166.800000001</v>
      </c>
    </row>
    <row r="46" spans="2:12">
      <c r="B46" s="123" t="s">
        <v>151</v>
      </c>
      <c r="C46" s="124" t="s">
        <v>1</v>
      </c>
      <c r="D46" s="124" t="s">
        <v>140</v>
      </c>
      <c r="E46" s="124" t="s">
        <v>170</v>
      </c>
      <c r="F46" s="124" t="s">
        <v>163</v>
      </c>
      <c r="G46" s="125" t="s">
        <v>164</v>
      </c>
      <c r="H46" s="125" t="s">
        <v>165</v>
      </c>
      <c r="I46" s="126" t="s">
        <v>5</v>
      </c>
    </row>
    <row r="47" spans="2:12">
      <c r="B47" s="120">
        <v>420910</v>
      </c>
      <c r="C47" s="90" t="s">
        <v>53</v>
      </c>
      <c r="D47" s="127" t="s">
        <v>56</v>
      </c>
      <c r="E47" s="6">
        <v>9600000</v>
      </c>
      <c r="F47" s="128">
        <v>1551250</v>
      </c>
      <c r="G47" s="128">
        <v>2849592.96</v>
      </c>
      <c r="H47" s="128">
        <v>844323.83999999997</v>
      </c>
      <c r="I47" s="129">
        <f>SUM(E47:H47)</f>
        <v>14845166.800000001</v>
      </c>
    </row>
    <row r="48" spans="2:12">
      <c r="B48" s="166">
        <v>421620</v>
      </c>
      <c r="C48" s="167" t="s">
        <v>64</v>
      </c>
      <c r="D48" s="168" t="s">
        <v>56</v>
      </c>
      <c r="E48" s="169"/>
      <c r="F48" s="169">
        <v>744600</v>
      </c>
      <c r="G48" s="168"/>
      <c r="H48" s="168"/>
      <c r="I48" s="170">
        <f t="shared" ref="I48:I56" si="2">SUM(E48:H48)</f>
        <v>744600</v>
      </c>
    </row>
    <row r="49" spans="2:13">
      <c r="B49" s="121">
        <v>420650</v>
      </c>
      <c r="C49" s="91" t="s">
        <v>69</v>
      </c>
      <c r="D49" s="127" t="s">
        <v>56</v>
      </c>
      <c r="E49" s="128"/>
      <c r="F49" s="128">
        <v>775625</v>
      </c>
      <c r="G49" s="127"/>
      <c r="H49" s="127"/>
      <c r="I49" s="129">
        <f t="shared" si="2"/>
        <v>775625</v>
      </c>
    </row>
    <row r="50" spans="2:13">
      <c r="B50" s="120">
        <v>421830</v>
      </c>
      <c r="C50" s="87" t="s">
        <v>72</v>
      </c>
      <c r="D50" s="127" t="s">
        <v>56</v>
      </c>
      <c r="E50" s="128"/>
      <c r="F50" s="128">
        <v>1551250</v>
      </c>
      <c r="G50" s="127"/>
      <c r="H50" s="127"/>
      <c r="I50" s="129">
        <f t="shared" si="2"/>
        <v>1551250</v>
      </c>
    </row>
    <row r="51" spans="2:13">
      <c r="B51" s="120">
        <v>421500</v>
      </c>
      <c r="C51" s="87" t="s">
        <v>80</v>
      </c>
      <c r="D51" s="127" t="s">
        <v>56</v>
      </c>
      <c r="E51" s="128"/>
      <c r="F51" s="128">
        <v>1551250</v>
      </c>
      <c r="G51" s="127"/>
      <c r="H51" s="127"/>
      <c r="I51" s="129">
        <f t="shared" si="2"/>
        <v>1551250</v>
      </c>
    </row>
    <row r="52" spans="2:13">
      <c r="B52" s="162">
        <v>420890</v>
      </c>
      <c r="C52" s="158" t="s">
        <v>67</v>
      </c>
      <c r="D52" s="163" t="s">
        <v>56</v>
      </c>
      <c r="E52" s="160">
        <v>3600000</v>
      </c>
      <c r="F52" s="164"/>
      <c r="G52" s="164">
        <v>527702.4</v>
      </c>
      <c r="H52" s="163"/>
      <c r="I52" s="165">
        <f t="shared" si="2"/>
        <v>4127702.4</v>
      </c>
    </row>
    <row r="53" spans="2:13">
      <c r="B53" s="120">
        <v>421360</v>
      </c>
      <c r="C53" s="92" t="s">
        <v>74</v>
      </c>
      <c r="D53" s="127" t="s">
        <v>62</v>
      </c>
      <c r="E53" s="128"/>
      <c r="F53" s="128"/>
      <c r="G53" s="130">
        <v>422161.91999999998</v>
      </c>
      <c r="H53" s="128"/>
      <c r="I53" s="129">
        <f t="shared" si="2"/>
        <v>422161.91999999998</v>
      </c>
    </row>
    <row r="54" spans="2:13">
      <c r="B54" s="122">
        <v>420380</v>
      </c>
      <c r="C54" s="90" t="s">
        <v>77</v>
      </c>
      <c r="D54" s="127" t="s">
        <v>56</v>
      </c>
      <c r="E54" s="128"/>
      <c r="F54" s="128"/>
      <c r="G54" s="128">
        <v>422161.91999999998</v>
      </c>
      <c r="H54" s="127"/>
      <c r="I54" s="129">
        <f t="shared" si="2"/>
        <v>422161.91999999998</v>
      </c>
    </row>
    <row r="55" spans="2:13">
      <c r="B55" s="131">
        <v>421580</v>
      </c>
      <c r="C55" s="132" t="s">
        <v>82</v>
      </c>
      <c r="D55" s="127" t="s">
        <v>56</v>
      </c>
      <c r="E55" s="128"/>
      <c r="F55" s="128"/>
      <c r="G55" s="128">
        <v>527702.4</v>
      </c>
      <c r="H55" s="127"/>
      <c r="I55" s="129">
        <f t="shared" si="2"/>
        <v>527702.4</v>
      </c>
    </row>
    <row r="56" spans="2:13">
      <c r="B56" s="120">
        <v>421010</v>
      </c>
      <c r="C56" s="92" t="s">
        <v>84</v>
      </c>
      <c r="D56" s="127" t="s">
        <v>62</v>
      </c>
      <c r="E56" s="128"/>
      <c r="F56" s="128"/>
      <c r="G56" s="128">
        <v>316621.44</v>
      </c>
      <c r="H56" s="127"/>
      <c r="I56" s="129">
        <f t="shared" si="2"/>
        <v>316621.44</v>
      </c>
    </row>
    <row r="57" spans="2:13" s="106" customFormat="1" ht="15.75" thickBot="1">
      <c r="B57" s="133" t="s">
        <v>5</v>
      </c>
      <c r="C57" s="134"/>
      <c r="D57" s="134"/>
      <c r="E57" s="135">
        <f>SUM(E47:E56)</f>
        <v>13200000</v>
      </c>
      <c r="F57" s="135">
        <f>F47+F48+F49+F50+F51</f>
        <v>6173975</v>
      </c>
      <c r="G57" s="135">
        <f>G47+G52+G53+G54+G55+G56</f>
        <v>5065943.040000001</v>
      </c>
      <c r="H57" s="135">
        <f>H47</f>
        <v>844323.83999999997</v>
      </c>
      <c r="I57" s="136">
        <f>SUM(I47:I56)</f>
        <v>25284241.880000003</v>
      </c>
    </row>
    <row r="58" spans="2:13" s="106" customFormat="1">
      <c r="I58" s="113"/>
    </row>
    <row r="59" spans="2:13" s="106" customFormat="1"/>
    <row r="60" spans="2:13" s="106" customFormat="1">
      <c r="E60" s="107"/>
    </row>
    <row r="61" spans="2:13" s="106" customFormat="1">
      <c r="D61" s="171" t="s">
        <v>151</v>
      </c>
      <c r="E61" s="171" t="s">
        <v>1</v>
      </c>
      <c r="F61" s="171" t="s">
        <v>140</v>
      </c>
      <c r="G61" s="171" t="s">
        <v>171</v>
      </c>
      <c r="H61" s="101"/>
      <c r="I61" s="86"/>
      <c r="J61" s="191"/>
      <c r="K61" s="192"/>
      <c r="L61" s="87"/>
      <c r="M61" s="90"/>
    </row>
    <row r="62" spans="2:13" s="106" customFormat="1">
      <c r="D62" s="101">
        <v>420910</v>
      </c>
      <c r="E62" s="90" t="s">
        <v>53</v>
      </c>
      <c r="F62" s="141" t="s">
        <v>56</v>
      </c>
      <c r="G62" s="75">
        <v>14845166.800000001</v>
      </c>
      <c r="H62" s="101"/>
      <c r="I62" s="87"/>
      <c r="J62" s="191"/>
      <c r="K62" s="192"/>
      <c r="L62" s="193"/>
      <c r="M62" s="92"/>
    </row>
    <row r="63" spans="2:13" s="106" customFormat="1">
      <c r="D63" s="101">
        <v>421620</v>
      </c>
      <c r="E63" s="92" t="s">
        <v>64</v>
      </c>
      <c r="F63" s="141" t="s">
        <v>56</v>
      </c>
      <c r="G63" s="75">
        <v>744600</v>
      </c>
      <c r="H63" s="100"/>
      <c r="I63" s="7"/>
      <c r="J63" s="191"/>
      <c r="K63" s="192"/>
      <c r="L63" s="194"/>
      <c r="M63" s="91"/>
    </row>
    <row r="64" spans="2:13" s="106" customFormat="1">
      <c r="D64" s="100">
        <v>420650</v>
      </c>
      <c r="E64" s="91" t="s">
        <v>69</v>
      </c>
      <c r="F64" s="141" t="s">
        <v>56</v>
      </c>
      <c r="G64" s="75">
        <v>775625</v>
      </c>
      <c r="H64" s="101"/>
      <c r="I64" s="87"/>
      <c r="J64" s="191"/>
      <c r="K64" s="192"/>
      <c r="L64" s="193"/>
      <c r="M64" s="87"/>
    </row>
    <row r="65" spans="3:13" s="106" customFormat="1">
      <c r="D65" s="101">
        <v>421830</v>
      </c>
      <c r="E65" s="87" t="s">
        <v>72</v>
      </c>
      <c r="F65" s="141" t="s">
        <v>56</v>
      </c>
      <c r="G65" s="75">
        <v>1551250</v>
      </c>
      <c r="H65" s="101"/>
      <c r="I65" s="87"/>
      <c r="J65" s="191"/>
      <c r="K65" s="192"/>
      <c r="L65" s="193"/>
      <c r="M65" s="87"/>
    </row>
    <row r="66" spans="3:13" s="106" customFormat="1">
      <c r="D66" s="101">
        <v>421500</v>
      </c>
      <c r="E66" s="87" t="s">
        <v>80</v>
      </c>
      <c r="F66" s="141" t="s">
        <v>56</v>
      </c>
      <c r="G66" s="75">
        <v>1551250</v>
      </c>
      <c r="H66" s="101"/>
      <c r="I66" s="87"/>
      <c r="J66" s="191"/>
      <c r="K66" s="192"/>
      <c r="L66" s="193"/>
      <c r="M66" s="92"/>
    </row>
    <row r="67" spans="3:13">
      <c r="D67" s="101">
        <v>420890</v>
      </c>
      <c r="E67" s="92" t="s">
        <v>67</v>
      </c>
      <c r="F67" s="141" t="s">
        <v>56</v>
      </c>
      <c r="G67" s="75">
        <v>4127702.4</v>
      </c>
      <c r="H67" s="101"/>
      <c r="I67" s="86"/>
      <c r="J67" s="191"/>
      <c r="K67" s="192"/>
      <c r="L67" s="75"/>
      <c r="M67" s="90"/>
    </row>
    <row r="68" spans="3:13">
      <c r="D68" s="101">
        <v>421360</v>
      </c>
      <c r="E68" s="92" t="s">
        <v>74</v>
      </c>
      <c r="F68" s="141" t="s">
        <v>62</v>
      </c>
      <c r="G68" s="75">
        <v>422161.91999999998</v>
      </c>
      <c r="H68" s="101"/>
      <c r="I68" s="87"/>
      <c r="J68" s="191"/>
      <c r="K68" s="192"/>
      <c r="L68" s="193"/>
      <c r="M68" s="92"/>
    </row>
    <row r="69" spans="3:13">
      <c r="D69" s="76">
        <v>420380</v>
      </c>
      <c r="E69" s="90" t="s">
        <v>77</v>
      </c>
      <c r="F69" s="141" t="s">
        <v>56</v>
      </c>
      <c r="G69" s="75">
        <v>422161.91999999998</v>
      </c>
      <c r="H69" s="100"/>
      <c r="I69" s="7"/>
      <c r="J69" s="191"/>
      <c r="K69" s="192"/>
      <c r="L69" s="194"/>
      <c r="M69" s="91"/>
    </row>
    <row r="70" spans="3:13">
      <c r="C70" s="111"/>
      <c r="D70" s="140">
        <v>421580</v>
      </c>
      <c r="E70" s="132" t="s">
        <v>82</v>
      </c>
      <c r="F70" s="141" t="s">
        <v>56</v>
      </c>
      <c r="G70" s="75">
        <v>527702.4</v>
      </c>
      <c r="H70" s="101"/>
      <c r="I70" s="87"/>
      <c r="J70" s="191"/>
      <c r="K70" s="192"/>
      <c r="L70" s="193"/>
      <c r="M70" s="87"/>
    </row>
    <row r="71" spans="3:13">
      <c r="C71" s="105"/>
      <c r="D71" s="101">
        <v>421010</v>
      </c>
      <c r="E71" s="92" t="s">
        <v>84</v>
      </c>
      <c r="F71" s="141" t="s">
        <v>62</v>
      </c>
      <c r="G71" s="75">
        <v>316621.44</v>
      </c>
      <c r="H71" s="101"/>
      <c r="I71" s="87"/>
      <c r="J71" s="191"/>
      <c r="K71" s="192"/>
      <c r="L71" s="193"/>
      <c r="M71" s="87"/>
    </row>
    <row r="72" spans="3:13">
      <c r="C72" s="105"/>
      <c r="D72" s="241" t="s">
        <v>5</v>
      </c>
      <c r="E72" s="241"/>
      <c r="F72" s="241"/>
      <c r="G72" s="172">
        <f>SUM(G62:G71)</f>
        <v>25284241.880000003</v>
      </c>
      <c r="H72" s="101"/>
      <c r="I72" s="87"/>
      <c r="J72" s="191"/>
      <c r="K72" s="192"/>
      <c r="L72" s="193"/>
      <c r="M72" s="92"/>
    </row>
    <row r="73" spans="3:13">
      <c r="C73" s="105"/>
    </row>
    <row r="74" spans="3:13">
      <c r="C74" s="77"/>
    </row>
  </sheetData>
  <protectedRanges>
    <protectedRange sqref="C3:C12 H25:H34 C47:C49 C52:C54 C56 C25:C27 C30:C32 C34 E62:E64 E67:E69 E71" name="informações"/>
    <protectedRange sqref="C13 H35 C55 C33 E70" name="informações_3"/>
    <protectedRange sqref="K8:K13" name="informações_1"/>
  </protectedRanges>
  <mergeCells count="4">
    <mergeCell ref="G23:I23"/>
    <mergeCell ref="B45:I45"/>
    <mergeCell ref="D72:F72"/>
    <mergeCell ref="B41:C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H21"/>
  <sheetViews>
    <sheetView workbookViewId="0">
      <selection activeCell="H15" sqref="H15"/>
    </sheetView>
  </sheetViews>
  <sheetFormatPr defaultColWidth="11.42578125" defaultRowHeight="15"/>
  <cols>
    <col min="1" max="1" width="11.42578125" customWidth="1"/>
    <col min="2" max="2" width="20" customWidth="1"/>
    <col min="3" max="3" width="18.28515625" bestFit="1" customWidth="1"/>
    <col min="4" max="4" width="20.42578125" customWidth="1"/>
    <col min="5" max="5" width="24.5703125" customWidth="1"/>
    <col min="6" max="6" width="34.7109375" customWidth="1"/>
    <col min="8" max="8" width="15.42578125" bestFit="1" customWidth="1"/>
  </cols>
  <sheetData>
    <row r="3" spans="2:8">
      <c r="B3" s="251"/>
      <c r="C3" s="251"/>
      <c r="D3" s="251"/>
      <c r="E3" s="251"/>
    </row>
    <row r="4" spans="2:8" ht="14.25" customHeight="1">
      <c r="B4" s="246" t="s">
        <v>125</v>
      </c>
      <c r="C4" s="246"/>
      <c r="D4" s="246"/>
      <c r="E4" s="246"/>
    </row>
    <row r="5" spans="2:8" ht="30.75" thickBot="1">
      <c r="B5" s="247" t="s">
        <v>126</v>
      </c>
      <c r="C5" s="248"/>
      <c r="D5" s="68" t="s">
        <v>127</v>
      </c>
      <c r="E5" s="68" t="s">
        <v>128</v>
      </c>
      <c r="F5" s="68" t="s">
        <v>129</v>
      </c>
    </row>
    <row r="6" spans="2:8">
      <c r="F6" s="97"/>
    </row>
    <row r="8" spans="2:8">
      <c r="B8" s="246" t="s">
        <v>125</v>
      </c>
      <c r="C8" s="246"/>
      <c r="D8" s="246"/>
      <c r="E8" s="246"/>
    </row>
    <row r="9" spans="2:8" ht="30.75" thickBot="1">
      <c r="B9" s="247" t="s">
        <v>126</v>
      </c>
      <c r="C9" s="248"/>
      <c r="D9" s="173" t="s">
        <v>127</v>
      </c>
      <c r="E9" s="173" t="s">
        <v>128</v>
      </c>
      <c r="F9" s="173" t="s">
        <v>129</v>
      </c>
    </row>
    <row r="10" spans="2:8" ht="15.75" thickBot="1">
      <c r="B10" s="244" t="s">
        <v>130</v>
      </c>
      <c r="C10" s="245"/>
      <c r="D10" s="69">
        <v>600000</v>
      </c>
      <c r="E10" s="69">
        <v>150000</v>
      </c>
      <c r="F10" s="69">
        <v>1800000</v>
      </c>
    </row>
    <row r="11" spans="2:8" ht="15.75" thickBot="1">
      <c r="B11" s="244" t="s">
        <v>131</v>
      </c>
      <c r="C11" s="245"/>
      <c r="D11" s="69">
        <v>4360000</v>
      </c>
      <c r="E11" s="69">
        <v>1500000</v>
      </c>
      <c r="F11" s="69">
        <f>E11*12</f>
        <v>18000000</v>
      </c>
    </row>
    <row r="12" spans="2:8" ht="15.75" thickBot="1">
      <c r="B12" s="249" t="s">
        <v>132</v>
      </c>
      <c r="C12" s="250"/>
      <c r="D12" s="103">
        <v>0</v>
      </c>
      <c r="E12" s="103">
        <v>352255</v>
      </c>
      <c r="F12" s="103">
        <f>E12*12</f>
        <v>4227060</v>
      </c>
    </row>
    <row r="13" spans="2:8" ht="15.75" thickBot="1">
      <c r="B13" s="249" t="s">
        <v>133</v>
      </c>
      <c r="C13" s="250"/>
      <c r="D13" s="103">
        <v>0</v>
      </c>
      <c r="E13" s="103">
        <v>87880</v>
      </c>
      <c r="F13" s="103">
        <f>E13*12</f>
        <v>1054560</v>
      </c>
    </row>
    <row r="14" spans="2:8" ht="15.75" thickBot="1">
      <c r="B14" s="244" t="s">
        <v>134</v>
      </c>
      <c r="C14" s="245"/>
      <c r="D14" s="69">
        <v>12000000</v>
      </c>
      <c r="E14" s="69">
        <v>1100000</v>
      </c>
      <c r="F14" s="69">
        <v>13200000</v>
      </c>
      <c r="H14" s="97">
        <f>F14+F15+F16+F17+F18+F19</f>
        <v>45325479.379999995</v>
      </c>
    </row>
    <row r="15" spans="2:8" ht="15.75" thickBot="1">
      <c r="B15" s="244" t="s">
        <v>135</v>
      </c>
      <c r="C15" s="245"/>
      <c r="D15" s="69">
        <v>0</v>
      </c>
      <c r="E15" s="69">
        <v>579133.32999999996</v>
      </c>
      <c r="F15" s="69">
        <v>6949600</v>
      </c>
    </row>
    <row r="16" spans="2:8" ht="15.75" thickBot="1">
      <c r="B16" s="244" t="s">
        <v>136</v>
      </c>
      <c r="C16" s="245"/>
      <c r="D16" s="69">
        <v>0</v>
      </c>
      <c r="E16" s="69">
        <v>186150</v>
      </c>
      <c r="F16" s="69">
        <v>2233800</v>
      </c>
    </row>
    <row r="17" spans="2:8" ht="15.75" thickBot="1">
      <c r="B17" s="244" t="s">
        <v>137</v>
      </c>
      <c r="C17" s="245"/>
      <c r="D17" s="69">
        <v>4200000</v>
      </c>
      <c r="E17" s="69">
        <f>70360.32+1341961.92</f>
        <v>1412322.24</v>
      </c>
      <c r="F17" s="69">
        <f>E17*12</f>
        <v>16947866.879999999</v>
      </c>
    </row>
    <row r="18" spans="2:8" ht="15.75" thickBot="1">
      <c r="B18" s="244" t="s">
        <v>138</v>
      </c>
      <c r="C18" s="245"/>
      <c r="D18" s="69">
        <v>1000000</v>
      </c>
      <c r="E18" s="69">
        <v>219000</v>
      </c>
      <c r="F18" s="69">
        <v>2628000</v>
      </c>
      <c r="H18" s="97">
        <f>F21-F13</f>
        <v>74490459.359999999</v>
      </c>
    </row>
    <row r="19" spans="2:8" ht="15.75" thickBot="1">
      <c r="B19" s="244" t="s">
        <v>139</v>
      </c>
      <c r="C19" s="245"/>
      <c r="D19" s="69">
        <v>0</v>
      </c>
      <c r="E19" s="69">
        <v>280517.71000000002</v>
      </c>
      <c r="F19" s="69">
        <v>3366212.5</v>
      </c>
    </row>
    <row r="20" spans="2:8" ht="15.75" thickBot="1">
      <c r="B20" s="244" t="s">
        <v>29</v>
      </c>
      <c r="C20" s="245"/>
      <c r="D20" s="69">
        <v>0</v>
      </c>
      <c r="E20" s="69">
        <v>428160</v>
      </c>
      <c r="F20" s="69">
        <v>5137920</v>
      </c>
    </row>
    <row r="21" spans="2:8" ht="15.75" thickBot="1">
      <c r="B21" s="244" t="s">
        <v>5</v>
      </c>
      <c r="C21" s="245"/>
      <c r="D21" s="70">
        <f>SUM(D10:D20)</f>
        <v>22160000</v>
      </c>
      <c r="E21" s="70">
        <f>SUM(E10:E20)</f>
        <v>6295418.2800000003</v>
      </c>
      <c r="F21" s="71">
        <f>E21*12</f>
        <v>75545019.359999999</v>
      </c>
    </row>
  </sheetData>
  <mergeCells count="17">
    <mergeCell ref="B3:E3"/>
    <mergeCell ref="B4:E4"/>
    <mergeCell ref="B5:C5"/>
    <mergeCell ref="B8:E8"/>
    <mergeCell ref="B9:C9"/>
    <mergeCell ref="B10:C10"/>
    <mergeCell ref="B11:C11"/>
    <mergeCell ref="B12:C12"/>
    <mergeCell ref="B13:C13"/>
    <mergeCell ref="B20:C20"/>
    <mergeCell ref="B21:C21"/>
    <mergeCell ref="B14:C14"/>
    <mergeCell ref="B15:C15"/>
    <mergeCell ref="B16:C16"/>
    <mergeCell ref="B17:C17"/>
    <mergeCell ref="B18:C18"/>
    <mergeCell ref="B19:C19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2" sqref="G12"/>
    </sheetView>
  </sheetViews>
  <sheetFormatPr defaultRowHeight="15"/>
  <cols>
    <col min="1" max="1" width="27" customWidth="1"/>
    <col min="2" max="2" width="15.28515625" customWidth="1"/>
    <col min="3" max="3" width="10.28515625" bestFit="1" customWidth="1"/>
    <col min="4" max="4" width="13.28515625" bestFit="1" customWidth="1"/>
    <col min="7" max="7" width="13.28515625" bestFit="1" customWidth="1"/>
  </cols>
  <sheetData>
    <row r="1" spans="1:7" ht="15.75" thickBot="1">
      <c r="A1" s="252" t="s">
        <v>174</v>
      </c>
      <c r="B1" s="254" t="s">
        <v>175</v>
      </c>
      <c r="C1" s="255"/>
      <c r="D1" s="256"/>
      <c r="E1" s="254" t="s">
        <v>176</v>
      </c>
      <c r="F1" s="255"/>
      <c r="G1" s="256"/>
    </row>
    <row r="2" spans="1:7" ht="15.75" thickBot="1">
      <c r="A2" s="253"/>
      <c r="B2" s="174" t="s">
        <v>177</v>
      </c>
      <c r="C2" s="174" t="s">
        <v>178</v>
      </c>
      <c r="D2" s="174" t="s">
        <v>179</v>
      </c>
      <c r="E2" s="174" t="s">
        <v>177</v>
      </c>
      <c r="F2" s="174" t="s">
        <v>178</v>
      </c>
      <c r="G2" s="174" t="s">
        <v>179</v>
      </c>
    </row>
    <row r="3" spans="1:7" ht="15.75" thickBot="1">
      <c r="A3" s="175" t="s">
        <v>180</v>
      </c>
      <c r="B3" s="176"/>
      <c r="C3" s="176">
        <v>4</v>
      </c>
      <c r="D3" s="177">
        <v>13200000</v>
      </c>
      <c r="E3" s="176"/>
      <c r="F3" s="176">
        <v>4</v>
      </c>
      <c r="G3" s="177">
        <v>13200000</v>
      </c>
    </row>
    <row r="4" spans="1:7" ht="15.75" thickBot="1">
      <c r="A4" s="175" t="s">
        <v>181</v>
      </c>
      <c r="B4" s="176">
        <v>46</v>
      </c>
      <c r="C4" s="176">
        <v>43</v>
      </c>
      <c r="D4" s="177">
        <v>6949600</v>
      </c>
      <c r="E4" s="176">
        <v>41</v>
      </c>
      <c r="F4" s="178">
        <v>38</v>
      </c>
      <c r="G4" s="177">
        <v>6173975</v>
      </c>
    </row>
    <row r="5" spans="1:7" ht="15.75" thickBot="1">
      <c r="A5" s="175" t="s">
        <v>182</v>
      </c>
      <c r="B5" s="176">
        <v>42</v>
      </c>
      <c r="C5" s="176">
        <v>56</v>
      </c>
      <c r="D5" s="177">
        <v>16947866.879999999</v>
      </c>
      <c r="E5" s="176"/>
      <c r="F5" s="176">
        <v>56</v>
      </c>
      <c r="G5" s="177">
        <v>5910266.8799999999</v>
      </c>
    </row>
    <row r="6" spans="1:7" ht="15.75" thickBot="1">
      <c r="A6" s="175" t="s">
        <v>183</v>
      </c>
      <c r="B6" s="176">
        <v>40</v>
      </c>
      <c r="C6" s="176" t="s">
        <v>184</v>
      </c>
      <c r="D6" s="177">
        <v>2233800</v>
      </c>
      <c r="E6" s="176"/>
      <c r="F6" s="176"/>
      <c r="G6" s="176"/>
    </row>
    <row r="7" spans="1:7" ht="15.75" thickBot="1">
      <c r="A7" s="175" t="s">
        <v>185</v>
      </c>
      <c r="B7" s="176">
        <v>10</v>
      </c>
      <c r="C7" s="176" t="s">
        <v>186</v>
      </c>
      <c r="D7" s="177">
        <v>2628000</v>
      </c>
      <c r="E7" s="176"/>
      <c r="F7" s="176"/>
      <c r="G7" s="176"/>
    </row>
    <row r="8" spans="1:7" ht="15.75" thickBot="1">
      <c r="A8" s="175" t="s">
        <v>187</v>
      </c>
      <c r="B8" s="176">
        <v>31</v>
      </c>
      <c r="C8" s="176"/>
      <c r="D8" s="177">
        <v>3366212.5</v>
      </c>
      <c r="E8" s="176"/>
      <c r="F8" s="176"/>
      <c r="G8" s="176"/>
    </row>
    <row r="9" spans="1:7">
      <c r="A9" s="179" t="s">
        <v>5</v>
      </c>
      <c r="B9" s="257">
        <v>169</v>
      </c>
      <c r="C9" s="257">
        <v>103</v>
      </c>
      <c r="D9" s="259">
        <v>42925479.380000003</v>
      </c>
      <c r="E9" s="257">
        <v>41</v>
      </c>
      <c r="F9" s="257">
        <v>98</v>
      </c>
      <c r="G9" s="259">
        <v>22884241.879999999</v>
      </c>
    </row>
    <row r="10" spans="1:7" ht="15.75" thickBot="1">
      <c r="A10" s="180" t="s">
        <v>188</v>
      </c>
      <c r="B10" s="258"/>
      <c r="C10" s="258"/>
      <c r="D10" s="260"/>
      <c r="E10" s="258"/>
      <c r="F10" s="258"/>
      <c r="G10" s="260"/>
    </row>
    <row r="12" spans="1:7">
      <c r="B12">
        <f>B4+B5+B6+B7+B8</f>
        <v>169</v>
      </c>
      <c r="C12">
        <f>C3+C4+C5</f>
        <v>103</v>
      </c>
      <c r="D12" s="105">
        <f>D3+D4+D5+D6+D7+D8</f>
        <v>45325479.379999995</v>
      </c>
      <c r="E12">
        <f>E4</f>
        <v>41</v>
      </c>
      <c r="F12">
        <f>F3+F4+F5</f>
        <v>98</v>
      </c>
      <c r="G12" s="105">
        <f>G3+G4+G5</f>
        <v>25284241.879999999</v>
      </c>
    </row>
  </sheetData>
  <mergeCells count="9">
    <mergeCell ref="A1:A2"/>
    <mergeCell ref="B1:D1"/>
    <mergeCell ref="E1:G1"/>
    <mergeCell ref="B9:B10"/>
    <mergeCell ref="C9:C10"/>
    <mergeCell ref="D9:D10"/>
    <mergeCell ref="E9:E10"/>
    <mergeCell ref="F9:F10"/>
    <mergeCell ref="G9:G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SAMU</vt:lpstr>
      <vt:lpstr>UPA</vt:lpstr>
      <vt:lpstr>ATENÇÃO_DOMICILIAR</vt:lpstr>
      <vt:lpstr>SALAS DE ESTAB</vt:lpstr>
      <vt:lpstr>HOSPITALAR</vt:lpstr>
      <vt:lpstr>HOSPITALAR_IMEDIATO</vt:lpstr>
      <vt:lpstr>CONSOLIDADO</vt:lpstr>
      <vt:lpstr>Resumo do Total do Impacto MAC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Campelo Santos da Fonseca</dc:creator>
  <cp:lastModifiedBy>machadorr</cp:lastModifiedBy>
  <dcterms:created xsi:type="dcterms:W3CDTF">2012-01-20T17:13:23Z</dcterms:created>
  <dcterms:modified xsi:type="dcterms:W3CDTF">2012-11-12T16:39:55Z</dcterms:modified>
</cp:coreProperties>
</file>